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lietuvosbankuasociacija-my.sharepoint.com/personal/a_budrys_lba_lt/Documents/neklasifikuoti/Tvarumo projektai/ŠESD skaičiuoklė/"/>
    </mc:Choice>
  </mc:AlternateContent>
  <xr:revisionPtr revIDLastSave="21" documentId="8_{36C5D16E-DBE5-4474-AEE0-02817CE99303}" xr6:coauthVersionLast="47" xr6:coauthVersionMax="47" xr10:uidLastSave="{B0A71BD5-DDE4-42F8-A7EC-98F0E641F9B1}"/>
  <bookViews>
    <workbookView xWindow="2150" yWindow="1550" windowWidth="21340" windowHeight="14020" tabRatio="743" xr2:uid="{34832E09-F0A7-448C-9BDE-6302925D5B2B}"/>
  </bookViews>
  <sheets>
    <sheet name="Intro" sheetId="1" r:id="rId1"/>
    <sheet name="Information" sheetId="24" r:id="rId2"/>
    <sheet name="Scope 1" sheetId="16" r:id="rId3"/>
    <sheet name="Scope 2" sheetId="18" r:id="rId4"/>
    <sheet name="Report" sheetId="19" r:id="rId5"/>
    <sheet name="Back-end &gt;&gt;&gt;" sheetId="7" state="hidden" r:id="rId6"/>
    <sheet name="Calculations" sheetId="20" state="hidden" r:id="rId7"/>
    <sheet name="Carbon Factors" sheetId="34" state="hidden" r:id="rId8"/>
    <sheet name="Factors_CIBSE" sheetId="23" state="hidden" r:id="rId9"/>
    <sheet name="Conversion_factors" sheetId="33" state="hidden" r:id="rId10"/>
  </sheets>
  <definedNames>
    <definedName name="_xlnm._FilterDatabase" localSheetId="7" hidden="1">'Carbon Factors'!$A$1:$L$1</definedName>
    <definedName name="_xlchart.v1.0" hidden="1">(Report!$E$16,Report!$E$22,Report!$E$28)</definedName>
    <definedName name="_xlchart.v1.1" hidden="1">Report!$M$56:$M$58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20" l="1" a="1"/>
  <c r="B87" i="20" s="1"/>
  <c r="B88" i="20" a="1"/>
  <c r="B88" i="20" s="1"/>
  <c r="L87" i="20"/>
  <c r="B84" i="20" l="1" a="1"/>
  <c r="B84" i="20" s="1"/>
  <c r="B82" i="20" a="1"/>
  <c r="B82" i="20" s="1"/>
  <c r="C82" i="20" s="1"/>
  <c r="B81" i="20"/>
  <c r="C81" i="20" s="1"/>
  <c r="B80" i="20"/>
  <c r="C80" i="20" s="1"/>
  <c r="B83" i="20" a="1"/>
  <c r="B83" i="20" s="1"/>
  <c r="C83" i="20" s="1"/>
  <c r="C87" i="20"/>
  <c r="C88" i="20"/>
  <c r="B86" i="20" a="1"/>
  <c r="B86" i="20" s="1"/>
  <c r="C86" i="20" s="1"/>
  <c r="B33" i="20" a="1"/>
  <c r="B33" i="20" s="1"/>
  <c r="C33" i="20" s="1"/>
  <c r="B34" i="20" a="1"/>
  <c r="B34" i="20" s="1"/>
  <c r="C34" i="20" s="1"/>
  <c r="F221" i="34"/>
  <c r="F200" i="34"/>
  <c r="F208" i="34"/>
  <c r="H86" i="20"/>
  <c r="C40" i="20"/>
  <c r="E29" i="19"/>
  <c r="E25" i="19"/>
  <c r="F87" i="20"/>
  <c r="F88" i="20"/>
  <c r="F86" i="20"/>
  <c r="AC50" i="20"/>
  <c r="AC48" i="20"/>
  <c r="AC37" i="20"/>
  <c r="F67" i="20"/>
  <c r="F68" i="20"/>
  <c r="F69" i="20"/>
  <c r="F70" i="20"/>
  <c r="F71" i="20"/>
  <c r="F72" i="20"/>
  <c r="F73" i="20"/>
  <c r="F66" i="20"/>
  <c r="F59" i="20"/>
  <c r="F60" i="20"/>
  <c r="F61" i="20"/>
  <c r="F62" i="20"/>
  <c r="F63" i="20"/>
  <c r="F64" i="20"/>
  <c r="F65" i="20"/>
  <c r="F58" i="20"/>
  <c r="E74" i="20"/>
  <c r="Q74" i="20" s="1"/>
  <c r="W74" i="20" s="1"/>
  <c r="E75" i="20"/>
  <c r="Q75" i="20" s="1"/>
  <c r="W75" i="20" s="1"/>
  <c r="E76" i="20"/>
  <c r="Q76" i="20" s="1"/>
  <c r="W76" i="20" s="1"/>
  <c r="E51" i="20"/>
  <c r="Q51" i="20" s="1"/>
  <c r="W51" i="20" s="1"/>
  <c r="E52" i="20"/>
  <c r="Q52" i="20" s="1"/>
  <c r="W52" i="20" s="1"/>
  <c r="E53" i="20"/>
  <c r="M53" i="20" s="1"/>
  <c r="E54" i="20"/>
  <c r="M54" i="20" s="1"/>
  <c r="E55" i="20"/>
  <c r="Q55" i="20" s="1"/>
  <c r="W55" i="20" s="1"/>
  <c r="E56" i="20"/>
  <c r="Q56" i="20" s="1"/>
  <c r="W56" i="20" s="1"/>
  <c r="E57" i="20"/>
  <c r="Q57" i="20" s="1"/>
  <c r="W57" i="20" s="1"/>
  <c r="E58" i="20"/>
  <c r="Q58" i="20" s="1"/>
  <c r="W58" i="20" s="1"/>
  <c r="E59" i="20"/>
  <c r="Q59" i="20" s="1"/>
  <c r="W59" i="20" s="1"/>
  <c r="E60" i="20"/>
  <c r="Q60" i="20" s="1"/>
  <c r="W60" i="20" s="1"/>
  <c r="E61" i="20"/>
  <c r="M61" i="20" s="1"/>
  <c r="E62" i="20"/>
  <c r="M62" i="20" s="1"/>
  <c r="E63" i="20"/>
  <c r="Q63" i="20" s="1"/>
  <c r="W63" i="20" s="1"/>
  <c r="E64" i="20"/>
  <c r="Q64" i="20" s="1"/>
  <c r="W64" i="20" s="1"/>
  <c r="E65" i="20"/>
  <c r="Q65" i="20" s="1"/>
  <c r="W65" i="20" s="1"/>
  <c r="E66" i="20"/>
  <c r="Q66" i="20" s="1"/>
  <c r="W66" i="20" s="1"/>
  <c r="E67" i="20"/>
  <c r="Q67" i="20" s="1"/>
  <c r="W67" i="20" s="1"/>
  <c r="E68" i="20"/>
  <c r="Q68" i="20" s="1"/>
  <c r="W68" i="20" s="1"/>
  <c r="E69" i="20"/>
  <c r="M69" i="20" s="1"/>
  <c r="E70" i="20"/>
  <c r="M70" i="20" s="1"/>
  <c r="E71" i="20"/>
  <c r="Q71" i="20" s="1"/>
  <c r="W71" i="20" s="1"/>
  <c r="E72" i="20"/>
  <c r="Q72" i="20" s="1"/>
  <c r="W72" i="20" s="1"/>
  <c r="E73" i="20"/>
  <c r="Q73" i="20" s="1"/>
  <c r="W73" i="20" s="1"/>
  <c r="E50" i="20"/>
  <c r="M50" i="20" s="1"/>
  <c r="D75" i="20"/>
  <c r="D76" i="20"/>
  <c r="D74" i="20"/>
  <c r="B51" i="20" a="1"/>
  <c r="B51" i="20" s="1"/>
  <c r="C51" i="20" s="1"/>
  <c r="G51" i="20" s="1"/>
  <c r="B52" i="20" a="1"/>
  <c r="B52" i="20" s="1"/>
  <c r="C52" i="20" s="1"/>
  <c r="G52" i="20" s="1"/>
  <c r="B53" i="20" a="1"/>
  <c r="B53" i="20" s="1"/>
  <c r="C53" i="20" s="1"/>
  <c r="G53" i="20" s="1"/>
  <c r="P53" i="20" s="1"/>
  <c r="B54" i="20" a="1"/>
  <c r="B54" i="20" s="1"/>
  <c r="C54" i="20" s="1"/>
  <c r="G54" i="20" s="1"/>
  <c r="P54" i="20" s="1"/>
  <c r="B55" i="20" a="1"/>
  <c r="B55" i="20" s="1"/>
  <c r="C55" i="20" s="1"/>
  <c r="G55" i="20" s="1"/>
  <c r="B56" i="20" a="1"/>
  <c r="B56" i="20" s="1"/>
  <c r="C56" i="20" s="1"/>
  <c r="G56" i="20" s="1"/>
  <c r="B57" i="20" a="1"/>
  <c r="B57" i="20" s="1"/>
  <c r="C57" i="20" s="1"/>
  <c r="G57" i="20" s="1"/>
  <c r="B58" i="20" a="1"/>
  <c r="B58" i="20" s="1"/>
  <c r="C58" i="20" s="1"/>
  <c r="B59" i="20" a="1"/>
  <c r="B59" i="20" s="1"/>
  <c r="C59" i="20" s="1"/>
  <c r="B60" i="20" a="1"/>
  <c r="B60" i="20" s="1"/>
  <c r="C60" i="20" s="1"/>
  <c r="B61" i="20" a="1"/>
  <c r="B61" i="20" s="1"/>
  <c r="C61" i="20" s="1"/>
  <c r="B62" i="20" a="1"/>
  <c r="B62" i="20" s="1"/>
  <c r="C62" i="20" s="1"/>
  <c r="B63" i="20" a="1"/>
  <c r="B63" i="20" s="1"/>
  <c r="C63" i="20" s="1"/>
  <c r="G63" i="20" s="1"/>
  <c r="B64" i="20" a="1"/>
  <c r="B64" i="20" s="1"/>
  <c r="C64" i="20" s="1"/>
  <c r="B65" i="20" a="1"/>
  <c r="B65" i="20" s="1"/>
  <c r="C65" i="20" s="1"/>
  <c r="B66" i="20" a="1"/>
  <c r="B66" i="20" s="1"/>
  <c r="C66" i="20" s="1"/>
  <c r="B67" i="20" a="1"/>
  <c r="B67" i="20" s="1"/>
  <c r="C67" i="20" s="1"/>
  <c r="B68" i="20" a="1"/>
  <c r="B68" i="20" s="1"/>
  <c r="C68" i="20" s="1"/>
  <c r="B69" i="20" a="1"/>
  <c r="B69" i="20" s="1"/>
  <c r="C69" i="20" s="1"/>
  <c r="B70" i="20" a="1"/>
  <c r="B70" i="20" s="1"/>
  <c r="C70" i="20" s="1"/>
  <c r="B71" i="20" a="1"/>
  <c r="B71" i="20" s="1"/>
  <c r="C71" i="20" s="1"/>
  <c r="G71" i="20" s="1"/>
  <c r="B72" i="20" a="1"/>
  <c r="B72" i="20" s="1"/>
  <c r="C72" i="20" s="1"/>
  <c r="B73" i="20" a="1"/>
  <c r="B73" i="20" s="1"/>
  <c r="C73" i="20" s="1"/>
  <c r="B74" i="20" a="1"/>
  <c r="B74" i="20" s="1"/>
  <c r="C74" i="20" s="1"/>
  <c r="G74" i="20" s="1"/>
  <c r="B75" i="20" a="1"/>
  <c r="B75" i="20" s="1"/>
  <c r="C75" i="20" s="1"/>
  <c r="G75" i="20" s="1"/>
  <c r="B76" i="20" a="1"/>
  <c r="B76" i="20" s="1"/>
  <c r="C76" i="20" s="1"/>
  <c r="G76" i="20" s="1"/>
  <c r="B50" i="20" a="1"/>
  <c r="B50" i="20" s="1"/>
  <c r="C50" i="20" s="1"/>
  <c r="G50" i="20" s="1"/>
  <c r="P50" i="20" s="1"/>
  <c r="B35" i="20" a="1"/>
  <c r="B35" i="20" s="1"/>
  <c r="C35" i="20" s="1"/>
  <c r="B32" i="20" a="1"/>
  <c r="B32" i="20" s="1"/>
  <c r="C32" i="20" s="1"/>
  <c r="B30" i="20" a="1"/>
  <c r="B30" i="20" s="1"/>
  <c r="C30" i="20" s="1"/>
  <c r="B31" i="20" a="1"/>
  <c r="B31" i="20" s="1"/>
  <c r="C31" i="20" s="1"/>
  <c r="B29" i="20" a="1"/>
  <c r="B29" i="20" s="1"/>
  <c r="C29" i="20" s="1"/>
  <c r="B27" i="20" a="1"/>
  <c r="B27" i="20" s="1"/>
  <c r="C27" i="20" s="1"/>
  <c r="B28" i="20" a="1"/>
  <c r="B28" i="20" s="1"/>
  <c r="C28" i="20" s="1"/>
  <c r="B26" i="20" a="1"/>
  <c r="B26" i="20" s="1"/>
  <c r="C26" i="20" s="1"/>
  <c r="B24" i="20" a="1"/>
  <c r="B24" i="20" s="1"/>
  <c r="C24" i="20" s="1"/>
  <c r="B25" i="20" a="1"/>
  <c r="B25" i="20" s="1"/>
  <c r="C25" i="20" s="1"/>
  <c r="B23" i="20" a="1"/>
  <c r="B23" i="20" s="1"/>
  <c r="C23" i="20" s="1"/>
  <c r="B21" i="20" a="1"/>
  <c r="B21" i="20" s="1"/>
  <c r="C21" i="20" s="1"/>
  <c r="B22" i="20" a="1"/>
  <c r="B22" i="20" s="1"/>
  <c r="C22" i="20" s="1"/>
  <c r="B20" i="20" a="1"/>
  <c r="B20" i="20" s="1"/>
  <c r="C20" i="20" s="1"/>
  <c r="B18" i="20" a="1"/>
  <c r="B18" i="20" s="1"/>
  <c r="C18" i="20" s="1"/>
  <c r="B19" i="20" a="1"/>
  <c r="B19" i="20" s="1"/>
  <c r="C19" i="20" s="1"/>
  <c r="B17" i="20" a="1"/>
  <c r="B17" i="20" s="1"/>
  <c r="C17" i="20" s="1"/>
  <c r="B15" i="20" a="1"/>
  <c r="B15" i="20" s="1"/>
  <c r="C15" i="20" s="1"/>
  <c r="AH15" i="20" s="1"/>
  <c r="B14" i="20" a="1"/>
  <c r="B14" i="20" s="1"/>
  <c r="C14" i="20" s="1"/>
  <c r="AH14" i="20" s="1"/>
  <c r="B13" i="20" a="1"/>
  <c r="B13" i="20" s="1"/>
  <c r="C13" i="20" s="1"/>
  <c r="AH13" i="20" s="1"/>
  <c r="B12" i="20" a="1"/>
  <c r="B12" i="20" s="1"/>
  <c r="C12" i="20" s="1"/>
  <c r="AH12" i="20" s="1"/>
  <c r="B6" i="20" a="1"/>
  <c r="B6" i="20" s="1"/>
  <c r="C6" i="20" s="1"/>
  <c r="B7" i="20" a="1"/>
  <c r="B7" i="20" s="1"/>
  <c r="C7" i="20" s="1"/>
  <c r="B8" i="20" a="1"/>
  <c r="B8" i="20" s="1"/>
  <c r="C8" i="20" s="1"/>
  <c r="B9" i="20" a="1"/>
  <c r="B9" i="20" s="1"/>
  <c r="C9" i="20" s="1"/>
  <c r="B10" i="20" a="1"/>
  <c r="B10" i="20" s="1"/>
  <c r="C10" i="20" s="1"/>
  <c r="B5" i="20" a="1"/>
  <c r="B5" i="20" s="1"/>
  <c r="C5" i="20" s="1"/>
  <c r="B48" i="20"/>
  <c r="B38" i="20"/>
  <c r="B39" i="20"/>
  <c r="B40" i="20"/>
  <c r="B41" i="20"/>
  <c r="B42" i="20"/>
  <c r="B43" i="20"/>
  <c r="B44" i="20"/>
  <c r="B45" i="20"/>
  <c r="B46" i="20"/>
  <c r="B37" i="20"/>
  <c r="I84" i="20"/>
  <c r="I83" i="20"/>
  <c r="I82" i="20"/>
  <c r="I81" i="20"/>
  <c r="I80" i="20"/>
  <c r="I79" i="20"/>
  <c r="F84" i="20"/>
  <c r="S84" i="20" s="1"/>
  <c r="F83" i="20"/>
  <c r="F81" i="20"/>
  <c r="S81" i="20" s="1"/>
  <c r="F80" i="20"/>
  <c r="S80" i="20" s="1"/>
  <c r="D84" i="20"/>
  <c r="E84" i="20" s="1"/>
  <c r="D83" i="20"/>
  <c r="E83" i="20" s="1"/>
  <c r="D82" i="20"/>
  <c r="D81" i="20"/>
  <c r="E81" i="20" s="1"/>
  <c r="D80" i="20"/>
  <c r="E80" i="20" s="1"/>
  <c r="D79" i="20"/>
  <c r="I87" i="20"/>
  <c r="I88" i="20"/>
  <c r="I86" i="20"/>
  <c r="D87" i="20"/>
  <c r="E87" i="20" s="1"/>
  <c r="M87" i="20" s="1"/>
  <c r="D88" i="20"/>
  <c r="N88" i="20" s="1"/>
  <c r="D86" i="20"/>
  <c r="N13" i="20"/>
  <c r="N14" i="20"/>
  <c r="N15" i="20"/>
  <c r="N12" i="20"/>
  <c r="S33" i="20"/>
  <c r="S34" i="20"/>
  <c r="D33" i="20"/>
  <c r="E33" i="20" s="1"/>
  <c r="F33" i="20"/>
  <c r="N33" i="20" s="1"/>
  <c r="G33" i="20"/>
  <c r="O33" i="20" s="1"/>
  <c r="I33" i="20"/>
  <c r="K33" i="20"/>
  <c r="D34" i="20"/>
  <c r="E34" i="20" s="1"/>
  <c r="F34" i="20"/>
  <c r="N34" i="20" s="1"/>
  <c r="G34" i="20"/>
  <c r="O34" i="20" s="1"/>
  <c r="I34" i="20"/>
  <c r="K34" i="20"/>
  <c r="F231" i="34"/>
  <c r="F230" i="34"/>
  <c r="F235" i="34"/>
  <c r="Y23" i="20"/>
  <c r="Y24" i="20"/>
  <c r="Y25" i="20"/>
  <c r="S18" i="20"/>
  <c r="S19" i="20"/>
  <c r="S20" i="20"/>
  <c r="S21" i="20"/>
  <c r="S22" i="20"/>
  <c r="S26" i="20"/>
  <c r="S27" i="20"/>
  <c r="S28" i="20"/>
  <c r="S29" i="20"/>
  <c r="S30" i="20"/>
  <c r="S31" i="20"/>
  <c r="S32" i="20"/>
  <c r="S17" i="20"/>
  <c r="G18" i="20"/>
  <c r="O18" i="20" s="1"/>
  <c r="G19" i="20"/>
  <c r="U19" i="20" s="1"/>
  <c r="G20" i="20"/>
  <c r="O20" i="20" s="1"/>
  <c r="G21" i="20"/>
  <c r="O21" i="20" s="1"/>
  <c r="G22" i="20"/>
  <c r="U22" i="20" s="1"/>
  <c r="G23" i="20"/>
  <c r="O23" i="20" s="1"/>
  <c r="G24" i="20"/>
  <c r="O24" i="20" s="1"/>
  <c r="G25" i="20"/>
  <c r="O25" i="20" s="1"/>
  <c r="G26" i="20"/>
  <c r="O26" i="20" s="1"/>
  <c r="G27" i="20"/>
  <c r="O27" i="20" s="1"/>
  <c r="G28" i="20"/>
  <c r="O28" i="20" s="1"/>
  <c r="G29" i="20"/>
  <c r="O29" i="20" s="1"/>
  <c r="G30" i="20"/>
  <c r="O30" i="20" s="1"/>
  <c r="G31" i="20"/>
  <c r="U31" i="20" s="1"/>
  <c r="G32" i="20"/>
  <c r="U32" i="20" s="1"/>
  <c r="G17" i="20"/>
  <c r="U17" i="20" s="1"/>
  <c r="F17" i="20"/>
  <c r="N17" i="20" s="1"/>
  <c r="F32" i="20"/>
  <c r="N32" i="20" s="1"/>
  <c r="F18" i="20"/>
  <c r="N18" i="20" s="1"/>
  <c r="F19" i="20"/>
  <c r="N19" i="20" s="1"/>
  <c r="F20" i="20"/>
  <c r="N20" i="20" s="1"/>
  <c r="F21" i="20"/>
  <c r="N21" i="20" s="1"/>
  <c r="F22" i="20"/>
  <c r="N22" i="20" s="1"/>
  <c r="F26" i="20"/>
  <c r="N26" i="20" s="1"/>
  <c r="F27" i="20"/>
  <c r="N27" i="20" s="1"/>
  <c r="F28" i="20"/>
  <c r="N28" i="20" s="1"/>
  <c r="F29" i="20"/>
  <c r="N29" i="20" s="1"/>
  <c r="F30" i="20"/>
  <c r="N30" i="20" s="1"/>
  <c r="F31" i="20"/>
  <c r="N31" i="20" s="1"/>
  <c r="K18" i="20"/>
  <c r="K19" i="20"/>
  <c r="K20" i="20"/>
  <c r="K21" i="20"/>
  <c r="K22" i="20"/>
  <c r="K23" i="20"/>
  <c r="K24" i="20"/>
  <c r="K25" i="20"/>
  <c r="K26" i="20"/>
  <c r="K27" i="20"/>
  <c r="K28" i="20"/>
  <c r="K29" i="20"/>
  <c r="K30" i="20"/>
  <c r="K31" i="20"/>
  <c r="K32" i="20"/>
  <c r="K17" i="20"/>
  <c r="I18" i="20"/>
  <c r="I19" i="20"/>
  <c r="I20" i="20"/>
  <c r="I21" i="20"/>
  <c r="I22" i="20"/>
  <c r="I26" i="20"/>
  <c r="I27" i="20"/>
  <c r="I28" i="20"/>
  <c r="I29" i="20"/>
  <c r="I30" i="20"/>
  <c r="I31" i="20"/>
  <c r="I32" i="20"/>
  <c r="I17" i="20"/>
  <c r="E38" i="20"/>
  <c r="E39" i="20"/>
  <c r="Q39" i="20" s="1"/>
  <c r="W39" i="20" s="1"/>
  <c r="E40" i="20"/>
  <c r="M40" i="20" s="1"/>
  <c r="E41" i="20"/>
  <c r="M41" i="20" s="1"/>
  <c r="E42" i="20"/>
  <c r="M42" i="20" s="1"/>
  <c r="E43" i="20"/>
  <c r="Q43" i="20" s="1"/>
  <c r="W43" i="20" s="1"/>
  <c r="E44" i="20"/>
  <c r="Q44" i="20" s="1"/>
  <c r="W44" i="20" s="1"/>
  <c r="E45" i="20"/>
  <c r="Q45" i="20" s="1"/>
  <c r="W45" i="20" s="1"/>
  <c r="E46" i="20"/>
  <c r="Q46" i="20" s="1"/>
  <c r="W46" i="20" s="1"/>
  <c r="E37" i="20"/>
  <c r="Q37" i="20" s="1"/>
  <c r="W37" i="20" s="1"/>
  <c r="D48" i="20"/>
  <c r="D38" i="20"/>
  <c r="D39" i="20"/>
  <c r="D40" i="20"/>
  <c r="D41" i="20"/>
  <c r="D42" i="20"/>
  <c r="D43" i="20"/>
  <c r="D44" i="20"/>
  <c r="D45" i="20"/>
  <c r="D46" i="20"/>
  <c r="D37" i="20"/>
  <c r="C48" i="20"/>
  <c r="V48" i="20" s="1"/>
  <c r="Z48" i="20" s="1"/>
  <c r="C38" i="20"/>
  <c r="C39" i="20"/>
  <c r="C41" i="20"/>
  <c r="C42" i="20"/>
  <c r="C43" i="20"/>
  <c r="C44" i="20"/>
  <c r="C45" i="20"/>
  <c r="C46" i="20"/>
  <c r="C37" i="20"/>
  <c r="D17" i="20"/>
  <c r="E17" i="20" s="1"/>
  <c r="Q17" i="20" s="1"/>
  <c r="W17" i="20" s="1"/>
  <c r="D18" i="20"/>
  <c r="D19" i="20"/>
  <c r="D20" i="20"/>
  <c r="D21" i="20"/>
  <c r="D22" i="20"/>
  <c r="E22" i="20" s="1"/>
  <c r="Q22" i="20" s="1"/>
  <c r="W22" i="20" s="1"/>
  <c r="D23" i="20"/>
  <c r="E23" i="20" s="1"/>
  <c r="Q23" i="20" s="1"/>
  <c r="W23" i="20" s="1"/>
  <c r="D24" i="20"/>
  <c r="E24" i="20" s="1"/>
  <c r="Q24" i="20" s="1"/>
  <c r="W24" i="20" s="1"/>
  <c r="D25" i="20"/>
  <c r="E25" i="20" s="1"/>
  <c r="Q25" i="20" s="1"/>
  <c r="W25" i="20" s="1"/>
  <c r="D26" i="20"/>
  <c r="D27" i="20"/>
  <c r="D28" i="20"/>
  <c r="D29" i="20"/>
  <c r="D30" i="20"/>
  <c r="E30" i="20" s="1"/>
  <c r="Q30" i="20" s="1"/>
  <c r="W30" i="20" s="1"/>
  <c r="D31" i="20"/>
  <c r="E31" i="20" s="1"/>
  <c r="Q31" i="20" s="1"/>
  <c r="W31" i="20" s="1"/>
  <c r="D32" i="20"/>
  <c r="E32" i="20" s="1"/>
  <c r="Q32" i="20" s="1"/>
  <c r="W32" i="20" s="1"/>
  <c r="D35" i="20"/>
  <c r="E35" i="20" s="1"/>
  <c r="Q35" i="20" s="1"/>
  <c r="S6" i="20"/>
  <c r="S7" i="20"/>
  <c r="S8" i="20"/>
  <c r="S9" i="20"/>
  <c r="S10" i="20"/>
  <c r="S12" i="20"/>
  <c r="S13" i="20"/>
  <c r="S14" i="20"/>
  <c r="S15" i="20"/>
  <c r="S5" i="20"/>
  <c r="N10" i="20"/>
  <c r="N6" i="20"/>
  <c r="N7" i="20"/>
  <c r="N8" i="20"/>
  <c r="N9" i="20"/>
  <c r="N5" i="20"/>
  <c r="L86" i="20"/>
  <c r="L88" i="20"/>
  <c r="L6" i="20"/>
  <c r="L7" i="20"/>
  <c r="L8" i="20"/>
  <c r="L9" i="20"/>
  <c r="L10" i="20"/>
  <c r="L12" i="20"/>
  <c r="L13" i="20"/>
  <c r="L14" i="20"/>
  <c r="L15" i="20"/>
  <c r="L5" i="20"/>
  <c r="I13" i="20"/>
  <c r="I14" i="20"/>
  <c r="I15" i="20"/>
  <c r="I12" i="20"/>
  <c r="I6" i="20"/>
  <c r="I7" i="20"/>
  <c r="I8" i="20"/>
  <c r="I9" i="20"/>
  <c r="I10" i="20"/>
  <c r="I5" i="20"/>
  <c r="D13" i="20"/>
  <c r="E13" i="20" s="1"/>
  <c r="AG13" i="20" s="1"/>
  <c r="D14" i="20"/>
  <c r="E14" i="20" s="1"/>
  <c r="AG14" i="20" s="1"/>
  <c r="D15" i="20"/>
  <c r="E15" i="20" s="1"/>
  <c r="Q15" i="20" s="1"/>
  <c r="W15" i="20" s="1"/>
  <c r="D12" i="20"/>
  <c r="E12" i="20" s="1"/>
  <c r="AG12" i="20" s="1"/>
  <c r="D6" i="20"/>
  <c r="E6" i="20" s="1"/>
  <c r="D7" i="20"/>
  <c r="E7" i="20" s="1"/>
  <c r="D8" i="20"/>
  <c r="E8" i="20" s="1"/>
  <c r="D9" i="20"/>
  <c r="E9" i="20" s="1"/>
  <c r="D10" i="20"/>
  <c r="E10" i="20" s="1"/>
  <c r="D5" i="20"/>
  <c r="E5" i="20" s="1"/>
  <c r="E86" i="20" l="1"/>
  <c r="Q86" i="20" s="1"/>
  <c r="W86" i="20" s="1"/>
  <c r="H84" i="20"/>
  <c r="C84" i="20"/>
  <c r="H81" i="20"/>
  <c r="H80" i="20"/>
  <c r="H83" i="20"/>
  <c r="R83" i="20" s="1"/>
  <c r="Y83" i="20" s="1"/>
  <c r="H82" i="20"/>
  <c r="G67" i="20"/>
  <c r="G59" i="20"/>
  <c r="H8" i="20"/>
  <c r="R8" i="20" s="1"/>
  <c r="Y8" i="20" s="1"/>
  <c r="H19" i="20"/>
  <c r="R19" i="20" s="1"/>
  <c r="H29" i="20"/>
  <c r="R29" i="20" s="1"/>
  <c r="J32" i="20"/>
  <c r="J24" i="20"/>
  <c r="H7" i="20"/>
  <c r="R7" i="20" s="1"/>
  <c r="Y7" i="20" s="1"/>
  <c r="H18" i="20"/>
  <c r="R18" i="20" s="1"/>
  <c r="H28" i="20"/>
  <c r="R28" i="20" s="1"/>
  <c r="J31" i="20"/>
  <c r="J23" i="20"/>
  <c r="H6" i="20"/>
  <c r="R6" i="20" s="1"/>
  <c r="Y6" i="20" s="1"/>
  <c r="H26" i="20"/>
  <c r="R26" i="20" s="1"/>
  <c r="H27" i="20"/>
  <c r="R27" i="20" s="1"/>
  <c r="J30" i="20"/>
  <c r="T30" i="20" s="1"/>
  <c r="H12" i="20"/>
  <c r="R12" i="20" s="1"/>
  <c r="Y12" i="20" s="1"/>
  <c r="H34" i="20"/>
  <c r="R34" i="20" s="1"/>
  <c r="J17" i="20"/>
  <c r="J29" i="20"/>
  <c r="T29" i="20" s="1"/>
  <c r="H15" i="20"/>
  <c r="R15" i="20" s="1"/>
  <c r="Y15" i="20" s="1"/>
  <c r="H33" i="20"/>
  <c r="R33" i="20" s="1"/>
  <c r="J19" i="20"/>
  <c r="J28" i="20"/>
  <c r="T28" i="20" s="1"/>
  <c r="H14" i="20"/>
  <c r="R14" i="20" s="1"/>
  <c r="Y14" i="20" s="1"/>
  <c r="H32" i="20"/>
  <c r="R32" i="20" s="1"/>
  <c r="J18" i="20"/>
  <c r="T18" i="20" s="1"/>
  <c r="J27" i="20"/>
  <c r="T27" i="20" s="1"/>
  <c r="H10" i="20"/>
  <c r="R10" i="20" s="1"/>
  <c r="Y10" i="20" s="1"/>
  <c r="H13" i="20"/>
  <c r="R13" i="20" s="1"/>
  <c r="Y13" i="20" s="1"/>
  <c r="H31" i="20"/>
  <c r="R31" i="20" s="1"/>
  <c r="J34" i="20"/>
  <c r="T34" i="20" s="1"/>
  <c r="J26" i="20"/>
  <c r="T26" i="20" s="1"/>
  <c r="H9" i="20"/>
  <c r="R9" i="20" s="1"/>
  <c r="Y9" i="20" s="1"/>
  <c r="H17" i="20"/>
  <c r="R17" i="20" s="1"/>
  <c r="H30" i="20"/>
  <c r="J33" i="20"/>
  <c r="T33" i="20" s="1"/>
  <c r="J25" i="20"/>
  <c r="J22" i="20"/>
  <c r="H22" i="20"/>
  <c r="R22" i="20" s="1"/>
  <c r="H21" i="20"/>
  <c r="R21" i="20" s="1"/>
  <c r="H20" i="20"/>
  <c r="R20" i="20" s="1"/>
  <c r="J20" i="20"/>
  <c r="T20" i="20" s="1"/>
  <c r="J21" i="20"/>
  <c r="T21" i="20" s="1"/>
  <c r="H5" i="20"/>
  <c r="R5" i="20" s="1"/>
  <c r="Y5" i="20" s="1"/>
  <c r="G62" i="20"/>
  <c r="P62" i="20" s="1"/>
  <c r="G70" i="20"/>
  <c r="P70" i="20" s="1"/>
  <c r="X48" i="20"/>
  <c r="AB48" i="20" s="1"/>
  <c r="AD48" i="20"/>
  <c r="G61" i="20"/>
  <c r="P61" i="20" s="1"/>
  <c r="G69" i="20"/>
  <c r="P69" i="20" s="1"/>
  <c r="V54" i="20"/>
  <c r="V53" i="20"/>
  <c r="N80" i="20"/>
  <c r="R80" i="20" s="1"/>
  <c r="Y80" i="20" s="1"/>
  <c r="M76" i="20"/>
  <c r="M74" i="20"/>
  <c r="P74" i="20" s="1"/>
  <c r="M66" i="20"/>
  <c r="G60" i="20"/>
  <c r="G68" i="20"/>
  <c r="M58" i="20"/>
  <c r="G58" i="20"/>
  <c r="G66" i="20"/>
  <c r="M81" i="20"/>
  <c r="P81" i="20" s="1"/>
  <c r="Q81" i="20"/>
  <c r="W81" i="20" s="1"/>
  <c r="Q80" i="20"/>
  <c r="W80" i="20" s="1"/>
  <c r="M80" i="20"/>
  <c r="P80" i="20" s="1"/>
  <c r="P83" i="20"/>
  <c r="Q84" i="20"/>
  <c r="W84" i="20" s="1"/>
  <c r="P84" i="20"/>
  <c r="M68" i="20"/>
  <c r="M60" i="20"/>
  <c r="M52" i="20"/>
  <c r="N81" i="20"/>
  <c r="S83" i="20"/>
  <c r="M75" i="20"/>
  <c r="M67" i="20"/>
  <c r="M59" i="20"/>
  <c r="M51" i="20"/>
  <c r="P51" i="20" s="1"/>
  <c r="Q70" i="20"/>
  <c r="W70" i="20" s="1"/>
  <c r="Q62" i="20"/>
  <c r="W62" i="20" s="1"/>
  <c r="Q54" i="20"/>
  <c r="W54" i="20" s="1"/>
  <c r="Q83" i="20"/>
  <c r="W83" i="20" s="1"/>
  <c r="M73" i="20"/>
  <c r="M65" i="20"/>
  <c r="M57" i="20"/>
  <c r="P57" i="20" s="1"/>
  <c r="G65" i="20"/>
  <c r="G73" i="20"/>
  <c r="Q50" i="20"/>
  <c r="W50" i="20" s="1"/>
  <c r="Q69" i="20"/>
  <c r="W69" i="20" s="1"/>
  <c r="Q61" i="20"/>
  <c r="W61" i="20" s="1"/>
  <c r="Q53" i="20"/>
  <c r="W53" i="20" s="1"/>
  <c r="M72" i="20"/>
  <c r="M64" i="20"/>
  <c r="M56" i="20"/>
  <c r="P56" i="20" s="1"/>
  <c r="G64" i="20"/>
  <c r="G72" i="20"/>
  <c r="M71" i="20"/>
  <c r="P71" i="20" s="1"/>
  <c r="M63" i="20"/>
  <c r="M55" i="20"/>
  <c r="R88" i="20"/>
  <c r="Y88" i="20" s="1"/>
  <c r="S88" i="20"/>
  <c r="M33" i="20"/>
  <c r="P33" i="20" s="1"/>
  <c r="X33" i="20" s="1"/>
  <c r="M38" i="20"/>
  <c r="P38" i="20" s="1"/>
  <c r="X38" i="20" s="1"/>
  <c r="P87" i="20"/>
  <c r="X87" i="20" s="1"/>
  <c r="Q87" i="20"/>
  <c r="W87" i="20" s="1"/>
  <c r="E88" i="20"/>
  <c r="AI13" i="20"/>
  <c r="AI14" i="20"/>
  <c r="M12" i="20"/>
  <c r="P12" i="20" s="1"/>
  <c r="M15" i="20"/>
  <c r="P15" i="20" s="1"/>
  <c r="M14" i="20"/>
  <c r="P14" i="20" s="1"/>
  <c r="AI12" i="20"/>
  <c r="M13" i="20"/>
  <c r="P13" i="20" s="1"/>
  <c r="U33" i="20"/>
  <c r="AG15" i="20"/>
  <c r="AI15" i="20" s="1"/>
  <c r="P42" i="20"/>
  <c r="X42" i="20" s="1"/>
  <c r="M34" i="20"/>
  <c r="P34" i="20" s="1"/>
  <c r="Q34" i="20"/>
  <c r="W34" i="20" s="1"/>
  <c r="U34" i="20"/>
  <c r="Q33" i="20"/>
  <c r="W33" i="20" s="1"/>
  <c r="M43" i="20"/>
  <c r="P43" i="20" s="1"/>
  <c r="X43" i="20" s="1"/>
  <c r="P41" i="20"/>
  <c r="X41" i="20" s="1"/>
  <c r="M39" i="20"/>
  <c r="P39" i="20" s="1"/>
  <c r="X39" i="20" s="1"/>
  <c r="M35" i="20"/>
  <c r="P35" i="20" s="1"/>
  <c r="W35" i="20"/>
  <c r="U30" i="20"/>
  <c r="R30" i="20"/>
  <c r="P40" i="20"/>
  <c r="X40" i="20" s="1"/>
  <c r="U27" i="20"/>
  <c r="M37" i="20"/>
  <c r="P37" i="20" s="1"/>
  <c r="X37" i="20" s="1"/>
  <c r="O17" i="20"/>
  <c r="U21" i="20"/>
  <c r="M46" i="20"/>
  <c r="P46" i="20" s="1"/>
  <c r="X46" i="20" s="1"/>
  <c r="Q42" i="20"/>
  <c r="W42" i="20" s="1"/>
  <c r="O32" i="20"/>
  <c r="U29" i="20"/>
  <c r="U18" i="20"/>
  <c r="M45" i="20"/>
  <c r="P45" i="20" s="1"/>
  <c r="X45" i="20" s="1"/>
  <c r="Q41" i="20"/>
  <c r="W41" i="20" s="1"/>
  <c r="O31" i="20"/>
  <c r="U26" i="20"/>
  <c r="M44" i="20"/>
  <c r="P44" i="20" s="1"/>
  <c r="X44" i="20" s="1"/>
  <c r="Q40" i="20"/>
  <c r="W40" i="20" s="1"/>
  <c r="U20" i="20"/>
  <c r="E29" i="20"/>
  <c r="Q29" i="20" s="1"/>
  <c r="W29" i="20" s="1"/>
  <c r="E21" i="20"/>
  <c r="Q21" i="20" s="1"/>
  <c r="W21" i="20" s="1"/>
  <c r="U28" i="20"/>
  <c r="Q38" i="20"/>
  <c r="W38" i="20" s="1"/>
  <c r="E28" i="20"/>
  <c r="Q28" i="20" s="1"/>
  <c r="W28" i="20" s="1"/>
  <c r="E20" i="20"/>
  <c r="Q20" i="20" s="1"/>
  <c r="W20" i="20" s="1"/>
  <c r="O22" i="20"/>
  <c r="M31" i="20"/>
  <c r="P31" i="20" s="1"/>
  <c r="M23" i="20"/>
  <c r="P23" i="20" s="1"/>
  <c r="X23" i="20" s="1"/>
  <c r="E27" i="20"/>
  <c r="Q27" i="20" s="1"/>
  <c r="W27" i="20" s="1"/>
  <c r="E19" i="20"/>
  <c r="Q19" i="20" s="1"/>
  <c r="W19" i="20" s="1"/>
  <c r="O19" i="20"/>
  <c r="E26" i="20"/>
  <c r="Q26" i="20" s="1"/>
  <c r="W26" i="20" s="1"/>
  <c r="E18" i="20"/>
  <c r="Q18" i="20" s="1"/>
  <c r="W18" i="20" s="1"/>
  <c r="M30" i="20"/>
  <c r="P30" i="20" s="1"/>
  <c r="M22" i="20"/>
  <c r="P22" i="20" s="1"/>
  <c r="M32" i="20"/>
  <c r="P32" i="20" s="1"/>
  <c r="M25" i="20"/>
  <c r="P25" i="20" s="1"/>
  <c r="M24" i="20"/>
  <c r="P24" i="20" s="1"/>
  <c r="M17" i="20"/>
  <c r="P17" i="20" s="1"/>
  <c r="Q13" i="20"/>
  <c r="W13" i="20" s="1"/>
  <c r="Q8" i="20"/>
  <c r="W8" i="20" s="1"/>
  <c r="M8" i="20"/>
  <c r="P8" i="20" s="1"/>
  <c r="Q10" i="20"/>
  <c r="W10" i="20" s="1"/>
  <c r="M10" i="20"/>
  <c r="P10" i="20" s="1"/>
  <c r="Q6" i="20"/>
  <c r="W6" i="20" s="1"/>
  <c r="M6" i="20"/>
  <c r="P6" i="20" s="1"/>
  <c r="Q9" i="20"/>
  <c r="W9" i="20" s="1"/>
  <c r="M9" i="20"/>
  <c r="P9" i="20" s="1"/>
  <c r="Q12" i="20"/>
  <c r="W12" i="20" s="1"/>
  <c r="M7" i="20"/>
  <c r="P7" i="20" s="1"/>
  <c r="Q7" i="20"/>
  <c r="W7" i="20" s="1"/>
  <c r="Q5" i="20"/>
  <c r="W5" i="20" s="1"/>
  <c r="M5" i="20"/>
  <c r="P5" i="20" s="1"/>
  <c r="Q14" i="20"/>
  <c r="W14" i="20" s="1"/>
  <c r="R81" i="20" l="1"/>
  <c r="Y81" i="20" s="1"/>
  <c r="R84" i="20"/>
  <c r="Y84" i="20" s="1"/>
  <c r="P73" i="20"/>
  <c r="V73" i="20" s="1"/>
  <c r="Z73" i="20" s="1"/>
  <c r="M86" i="20"/>
  <c r="P86" i="20" s="1"/>
  <c r="X86" i="20" s="1"/>
  <c r="P68" i="20"/>
  <c r="V68" i="20" s="1"/>
  <c r="Z68" i="20" s="1"/>
  <c r="P60" i="20"/>
  <c r="V60" i="20" s="1"/>
  <c r="V71" i="20"/>
  <c r="X71" i="20" s="1"/>
  <c r="P59" i="20"/>
  <c r="V59" i="20" s="1"/>
  <c r="Z59" i="20" s="1"/>
  <c r="P72" i="20"/>
  <c r="V72" i="20" s="1"/>
  <c r="Z72" i="20" s="1"/>
  <c r="V74" i="20"/>
  <c r="Z74" i="20" s="1"/>
  <c r="P67" i="20"/>
  <c r="V67" i="20" s="1"/>
  <c r="Z67" i="20" s="1"/>
  <c r="P64" i="20"/>
  <c r="P75" i="20"/>
  <c r="V75" i="20" s="1"/>
  <c r="V56" i="20"/>
  <c r="X56" i="20" s="1"/>
  <c r="P65" i="20"/>
  <c r="V65" i="20" s="1"/>
  <c r="Z65" i="20" s="1"/>
  <c r="V51" i="20"/>
  <c r="Z51" i="20" s="1"/>
  <c r="P66" i="20"/>
  <c r="V66" i="20" s="1"/>
  <c r="X66" i="20" s="1"/>
  <c r="P55" i="20"/>
  <c r="V55" i="20" s="1"/>
  <c r="P52" i="20"/>
  <c r="V52" i="20" s="1"/>
  <c r="V57" i="20"/>
  <c r="X57" i="20" s="1"/>
  <c r="P58" i="20"/>
  <c r="V58" i="20" s="1"/>
  <c r="X58" i="20" s="1"/>
  <c r="P63" i="20"/>
  <c r="V63" i="20" s="1"/>
  <c r="P76" i="20"/>
  <c r="T32" i="20"/>
  <c r="V32" i="20" s="1"/>
  <c r="Z32" i="20" s="1"/>
  <c r="T22" i="20"/>
  <c r="Y22" i="20" s="1"/>
  <c r="T19" i="20"/>
  <c r="Y19" i="20" s="1"/>
  <c r="T31" i="20"/>
  <c r="Y31" i="20" s="1"/>
  <c r="T17" i="20"/>
  <c r="Y17" i="20" s="1"/>
  <c r="AE48" i="20"/>
  <c r="E32" i="19"/>
  <c r="AB37" i="20"/>
  <c r="AC4" i="20"/>
  <c r="AC12" i="20"/>
  <c r="Z53" i="20"/>
  <c r="X53" i="20"/>
  <c r="Z54" i="20"/>
  <c r="X54" i="20"/>
  <c r="Z56" i="20"/>
  <c r="X84" i="20"/>
  <c r="V69" i="20"/>
  <c r="X80" i="20"/>
  <c r="V80" i="20"/>
  <c r="Z80" i="20" s="1"/>
  <c r="V83" i="20"/>
  <c r="Z83" i="20" s="1"/>
  <c r="X83" i="20"/>
  <c r="V50" i="20"/>
  <c r="V70" i="20"/>
  <c r="V62" i="20"/>
  <c r="V61" i="20"/>
  <c r="X81" i="20"/>
  <c r="S86" i="20"/>
  <c r="N86" i="20"/>
  <c r="R86" i="20" s="1"/>
  <c r="N87" i="20"/>
  <c r="R87" i="20" s="1"/>
  <c r="Y87" i="20" s="1"/>
  <c r="S87" i="20"/>
  <c r="Y27" i="20"/>
  <c r="Y29" i="20"/>
  <c r="M88" i="20"/>
  <c r="P88" i="20" s="1"/>
  <c r="Q88" i="20"/>
  <c r="W88" i="20" s="1"/>
  <c r="V34" i="20"/>
  <c r="Z34" i="20" s="1"/>
  <c r="Y28" i="20"/>
  <c r="Y20" i="20"/>
  <c r="Y18" i="20"/>
  <c r="V33" i="20"/>
  <c r="Z33" i="20" s="1"/>
  <c r="Y34" i="20"/>
  <c r="Y30" i="20"/>
  <c r="X34" i="20"/>
  <c r="Y33" i="20"/>
  <c r="V23" i="20"/>
  <c r="Z23" i="20" s="1"/>
  <c r="Y21" i="20"/>
  <c r="X30" i="20"/>
  <c r="V39" i="20"/>
  <c r="Z39" i="20" s="1"/>
  <c r="X17" i="20"/>
  <c r="V44" i="20"/>
  <c r="Z44" i="20" s="1"/>
  <c r="V38" i="20"/>
  <c r="Z38" i="20" s="1"/>
  <c r="V41" i="20"/>
  <c r="Z41" i="20" s="1"/>
  <c r="V42" i="20"/>
  <c r="Z42" i="20" s="1"/>
  <c r="V24" i="20"/>
  <c r="Z24" i="20" s="1"/>
  <c r="V46" i="20"/>
  <c r="Z46" i="20" s="1"/>
  <c r="V43" i="20"/>
  <c r="Z43" i="20" s="1"/>
  <c r="V25" i="20"/>
  <c r="Z25" i="20" s="1"/>
  <c r="V37" i="20"/>
  <c r="Z37" i="20" s="1"/>
  <c r="X22" i="20"/>
  <c r="X31" i="20"/>
  <c r="V45" i="20"/>
  <c r="Z45" i="20" s="1"/>
  <c r="V40" i="20"/>
  <c r="Y26" i="20"/>
  <c r="V30" i="20"/>
  <c r="Z30" i="20" s="1"/>
  <c r="M19" i="20"/>
  <c r="P19" i="20" s="1"/>
  <c r="M20" i="20"/>
  <c r="P20" i="20" s="1"/>
  <c r="M18" i="20"/>
  <c r="P18" i="20" s="1"/>
  <c r="M27" i="20"/>
  <c r="P27" i="20" s="1"/>
  <c r="M28" i="20"/>
  <c r="P28" i="20" s="1"/>
  <c r="M26" i="20"/>
  <c r="P26" i="20" s="1"/>
  <c r="M29" i="20"/>
  <c r="P29" i="20" s="1"/>
  <c r="M21" i="20"/>
  <c r="P21" i="20" s="1"/>
  <c r="X25" i="20"/>
  <c r="X24" i="20"/>
  <c r="V15" i="20"/>
  <c r="Z15" i="20" s="1"/>
  <c r="X32" i="20"/>
  <c r="V35" i="20"/>
  <c r="V12" i="20"/>
  <c r="Z12" i="20" s="1"/>
  <c r="X12" i="20"/>
  <c r="X15" i="20"/>
  <c r="X9" i="20"/>
  <c r="V9" i="20"/>
  <c r="Z9" i="20" s="1"/>
  <c r="V7" i="20"/>
  <c r="Z7" i="20" s="1"/>
  <c r="X7" i="20"/>
  <c r="X14" i="20"/>
  <c r="V14" i="20"/>
  <c r="Z14" i="20" s="1"/>
  <c r="X10" i="20"/>
  <c r="V10" i="20"/>
  <c r="Z10" i="20" s="1"/>
  <c r="V13" i="20"/>
  <c r="X13" i="20"/>
  <c r="V8" i="20"/>
  <c r="Z8" i="20" s="1"/>
  <c r="X8" i="20"/>
  <c r="X6" i="20"/>
  <c r="V6" i="20"/>
  <c r="Z6" i="20" s="1"/>
  <c r="V5" i="20"/>
  <c r="X5" i="20"/>
  <c r="Z71" i="20" l="1"/>
  <c r="V84" i="20"/>
  <c r="Z84" i="20" s="1"/>
  <c r="V81" i="20"/>
  <c r="Z81" i="20" s="1"/>
  <c r="Z57" i="20"/>
  <c r="X68" i="20"/>
  <c r="X74" i="20"/>
  <c r="X51" i="20"/>
  <c r="V64" i="20"/>
  <c r="X64" i="20" s="1"/>
  <c r="Z52" i="20"/>
  <c r="X52" i="20"/>
  <c r="Z55" i="20"/>
  <c r="X55" i="20"/>
  <c r="Z63" i="20"/>
  <c r="X63" i="20"/>
  <c r="X60" i="20"/>
  <c r="Z60" i="20"/>
  <c r="Z75" i="20"/>
  <c r="X75" i="20"/>
  <c r="V76" i="20"/>
  <c r="X76" i="20" s="1"/>
  <c r="X59" i="20"/>
  <c r="X72" i="20"/>
  <c r="X67" i="20"/>
  <c r="Z58" i="20"/>
  <c r="Z66" i="20"/>
  <c r="X73" i="20"/>
  <c r="X65" i="20"/>
  <c r="Y32" i="20"/>
  <c r="AC17" i="20" s="1"/>
  <c r="AC3" i="20" s="1"/>
  <c r="V22" i="20"/>
  <c r="Z22" i="20" s="1"/>
  <c r="V31" i="20"/>
  <c r="Z31" i="20" s="1"/>
  <c r="V17" i="20"/>
  <c r="Z17" i="20" s="1"/>
  <c r="Z35" i="20"/>
  <c r="X35" i="20"/>
  <c r="AB4" i="20"/>
  <c r="AB12" i="20"/>
  <c r="Z13" i="20"/>
  <c r="AD12" i="20"/>
  <c r="Z5" i="20"/>
  <c r="AD4" i="20"/>
  <c r="E17" i="19" s="1"/>
  <c r="Z70" i="20"/>
  <c r="X70" i="20"/>
  <c r="Z50" i="20"/>
  <c r="X50" i="20"/>
  <c r="Z62" i="20"/>
  <c r="X62" i="20"/>
  <c r="Z61" i="20"/>
  <c r="X61" i="20"/>
  <c r="Z69" i="20"/>
  <c r="X69" i="20"/>
  <c r="Z40" i="20"/>
  <c r="AD37" i="20"/>
  <c r="Y86" i="20"/>
  <c r="AC86" i="20" s="1"/>
  <c r="V86" i="20"/>
  <c r="V87" i="20"/>
  <c r="Z87" i="20" s="1"/>
  <c r="V88" i="20"/>
  <c r="Z88" i="20" s="1"/>
  <c r="X88" i="20"/>
  <c r="AB86" i="20" s="1"/>
  <c r="X29" i="20"/>
  <c r="V29" i="20"/>
  <c r="Z29" i="20" s="1"/>
  <c r="X26" i="20"/>
  <c r="V26" i="20"/>
  <c r="Z26" i="20" s="1"/>
  <c r="X21" i="20"/>
  <c r="V21" i="20"/>
  <c r="Z21" i="20" s="1"/>
  <c r="X27" i="20"/>
  <c r="V27" i="20"/>
  <c r="Z27" i="20" s="1"/>
  <c r="V18" i="20"/>
  <c r="Z18" i="20" s="1"/>
  <c r="X18" i="20"/>
  <c r="X28" i="20"/>
  <c r="V28" i="20"/>
  <c r="Z28" i="20" s="1"/>
  <c r="X20" i="20"/>
  <c r="V20" i="20"/>
  <c r="Z20" i="20" s="1"/>
  <c r="V19" i="20"/>
  <c r="Z19" i="20" s="1"/>
  <c r="X19" i="20"/>
  <c r="AD50" i="20" l="1"/>
  <c r="E20" i="19" s="1"/>
  <c r="Z64" i="20"/>
  <c r="Z76" i="20"/>
  <c r="AB17" i="20"/>
  <c r="AE12" i="20"/>
  <c r="AE4" i="20"/>
  <c r="H17" i="19" s="1"/>
  <c r="AB50" i="20"/>
  <c r="AD17" i="20"/>
  <c r="E19" i="19"/>
  <c r="AE37" i="20"/>
  <c r="H19" i="19" s="1"/>
  <c r="Z86" i="20"/>
  <c r="AD86" i="20"/>
  <c r="E24" i="19" s="1"/>
  <c r="AD3" i="20" l="1"/>
  <c r="E16" i="19" s="1"/>
  <c r="AE17" i="20"/>
  <c r="H18" i="19" s="1"/>
  <c r="E18" i="19"/>
  <c r="AE50" i="20"/>
  <c r="H20" i="19" s="1"/>
  <c r="AB3" i="20"/>
  <c r="AE86" i="20"/>
  <c r="H24" i="19" s="1"/>
  <c r="AE3" i="20" l="1"/>
  <c r="G17" i="19"/>
  <c r="K4" i="19" l="1"/>
  <c r="D4" i="19" l="1"/>
  <c r="B9" i="23" l="1"/>
  <c r="A46" i="20"/>
  <c r="A45" i="20"/>
  <c r="A44" i="20"/>
  <c r="A43" i="20"/>
  <c r="A42" i="20"/>
  <c r="A41" i="20"/>
  <c r="A40" i="20"/>
  <c r="A39" i="20"/>
  <c r="A38" i="20"/>
  <c r="A37" i="20"/>
  <c r="AL1" i="20"/>
  <c r="E28" i="19"/>
  <c r="K8" i="19" s="1"/>
  <c r="H15" i="18"/>
  <c r="B79" i="20" s="1"/>
  <c r="H79" i="20" s="1"/>
  <c r="K6" i="18"/>
  <c r="K5" i="18"/>
  <c r="M6" i="16"/>
  <c r="M5" i="16"/>
  <c r="C79" i="20" l="1"/>
  <c r="F82" i="20"/>
  <c r="F79" i="20"/>
  <c r="E79" i="20"/>
  <c r="E82" i="20"/>
  <c r="Q82" i="20" l="1"/>
  <c r="W82" i="20" s="1"/>
  <c r="P82" i="20"/>
  <c r="Q79" i="20"/>
  <c r="W79" i="20" s="1"/>
  <c r="M79" i="20"/>
  <c r="P79" i="20" s="1"/>
  <c r="S79" i="20"/>
  <c r="N79" i="20"/>
  <c r="R79" i="20" s="1"/>
  <c r="Y79" i="20" s="1"/>
  <c r="S82" i="20"/>
  <c r="R82" i="20"/>
  <c r="Y82" i="20" s="1"/>
  <c r="V79" i="20" l="1"/>
  <c r="X79" i="20"/>
  <c r="AC78" i="20"/>
  <c r="AC77" i="20" s="1"/>
  <c r="AC90" i="20" s="1"/>
  <c r="X82" i="20"/>
  <c r="V82" i="20"/>
  <c r="Z82" i="20" s="1"/>
  <c r="Z79" i="20" l="1"/>
  <c r="AD78" i="20"/>
  <c r="AB78" i="20"/>
  <c r="AB77" i="20" l="1"/>
  <c r="AB90" i="20" s="1"/>
  <c r="AE78" i="20"/>
  <c r="H23" i="19" s="1"/>
  <c r="E23" i="19"/>
  <c r="AD77" i="20"/>
  <c r="G20" i="19"/>
  <c r="G19" i="19"/>
  <c r="E8" i="19"/>
  <c r="G18" i="19"/>
  <c r="AE77" i="20" l="1"/>
  <c r="E22" i="19"/>
  <c r="G23" i="19" s="1"/>
  <c r="AD90" i="20"/>
  <c r="AE90" i="20" s="1"/>
  <c r="J20" i="19" s="1"/>
  <c r="J22" i="19" s="1"/>
  <c r="B8" i="19" l="1"/>
  <c r="H8" i="19"/>
  <c r="G24" i="19"/>
  <c r="E11" i="19" l="1"/>
  <c r="H11" i="19"/>
  <c r="K11"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<sst xmlns="http://schemas.openxmlformats.org/spreadsheetml/2006/main" count="4183" uniqueCount="1437">
  <si>
    <t>Welcome to GHG Calculator</t>
  </si>
  <si>
    <t>If you need support regarding the tool, please use the links below:</t>
  </si>
  <si>
    <t>MANUAL:</t>
  </si>
  <si>
    <t>Estonia</t>
  </si>
  <si>
    <t>YES</t>
  </si>
  <si>
    <t>01. AGRICULTURE, FORESTRY AND FISHING</t>
  </si>
  <si>
    <t>Latvia</t>
  </si>
  <si>
    <t>NO</t>
  </si>
  <si>
    <t>02. MINING AND QUARRYING</t>
  </si>
  <si>
    <t>Lithuania</t>
  </si>
  <si>
    <t>03. MANUFACTURING</t>
  </si>
  <si>
    <t>04. ELECTRICITY, GAS, STEAM AND AIR CONDITIONING SUPPLY</t>
  </si>
  <si>
    <t>BASIC INFORMATION</t>
  </si>
  <si>
    <t>05. WATER SUPPLY; SEWERAGE, WASTE MANAGEMENT AND REMEDIATION ACTIVITIES</t>
  </si>
  <si>
    <t>Before filling in the data, please start here and provide basic information regarding the company.</t>
  </si>
  <si>
    <t>06. CONSTRUCTION</t>
  </si>
  <si>
    <t>07. WHOLESALE AND RETAIL TRADE</t>
  </si>
  <si>
    <t>Select a reporting year:</t>
  </si>
  <si>
    <t>08. TRANSPORTATION AND STORAGE</t>
  </si>
  <si>
    <t>09. ACCOMMODATION AND FOOD SERVICE ACTIVITIES</t>
  </si>
  <si>
    <t>Select your main country of operation:</t>
  </si>
  <si>
    <t>10. PUBLISHING, BROADCASTING, AND CONTENT PRODUCTION AND DISTRIBUTION ACTIVITIES</t>
  </si>
  <si>
    <t>11. TELECOMMUNICATION, COMPUTER PROGRAMMING, CONSULTING, COMPUTING INFRASTRUCTURE AND OTHER INFORMATION SERVICE ACTIVITIES</t>
  </si>
  <si>
    <t>Select your sector:</t>
  </si>
  <si>
    <t>12. FINANCIAL AND INSURANCE ACTIVITIES</t>
  </si>
  <si>
    <t>13. REAL ESTATE ACTIVITIES</t>
  </si>
  <si>
    <t>14. PROFESSIONAL, SCIENTIFIC AND TECHNICAL ACTIVITIES</t>
  </si>
  <si>
    <t>Do you calculate Scope 3 emissions?</t>
  </si>
  <si>
    <t>15. ADMINISTRATIVE AND SUPPORT SERVICE ACTIVITIES</t>
  </si>
  <si>
    <t>16. PUBLIC ADMINISTRATION AND DEFENCE; COMPULSORY SOCIAL SECURITY</t>
  </si>
  <si>
    <r>
      <t>tCO</t>
    </r>
    <r>
      <rPr>
        <vertAlign val="subscript"/>
        <sz val="11"/>
        <color theme="1"/>
        <rFont val="Calibri"/>
        <family val="2"/>
        <scheme val="minor"/>
      </rPr>
      <t>2</t>
    </r>
    <r>
      <rPr>
        <sz val="11"/>
        <color theme="1"/>
        <rFont val="Calibri"/>
        <family val="2"/>
        <charset val="238"/>
        <scheme val="minor"/>
      </rPr>
      <t>e</t>
    </r>
  </si>
  <si>
    <t>17. EDUCATION</t>
  </si>
  <si>
    <t>18. HUMAN HEALTH AND SOCIAL WORK ACTIVITIES</t>
  </si>
  <si>
    <t>20. OTHER SERVICE ACTIVITIES</t>
  </si>
  <si>
    <t>21. ACTIVITIES OF HOUSEHOLDS AS EMPLOYERS AND UNDIFFERENTIATED GOODS - AND SERVICE-PRODUCING ACTIVITIES OF HOUSEHOLDS FOR OWN USE</t>
  </si>
  <si>
    <t>22. ACTIVITIES OF EXTRATERRITORIAL ORGANISATIONS AND BODIES</t>
  </si>
  <si>
    <t>Litres</t>
  </si>
  <si>
    <t>EUR</t>
  </si>
  <si>
    <t>VAN</t>
  </si>
  <si>
    <t>Tonnes</t>
  </si>
  <si>
    <t>USD</t>
  </si>
  <si>
    <t>Truck</t>
  </si>
  <si>
    <t>kWh</t>
  </si>
  <si>
    <t>MWh</t>
  </si>
  <si>
    <t>GHG Emission Calculator</t>
  </si>
  <si>
    <t>Selected year:</t>
  </si>
  <si>
    <t>GWh</t>
  </si>
  <si>
    <t>Selected main country of operation:</t>
  </si>
  <si>
    <t>Scope 1</t>
  </si>
  <si>
    <t xml:space="preserve">Scope 1 includes direct GHG emissions from owned and leased facilities under the operational control of the organisation (e.g. offices / warehouses). These are emissions resulting from the combustion of transport fuels, heating fuels, refrigerant leakage and the use of selected industrial and shielding gases. </t>
  </si>
  <si>
    <t>STATIONARY EMISSIONS</t>
  </si>
  <si>
    <t xml:space="preserve">Emissions resulting from the use of fuel for heating buildings or for other purposes (e.g. in equipment such as a generator). </t>
  </si>
  <si>
    <r>
      <t xml:space="preserve">&gt;&gt;&gt; 
Please fill in columns for estimations </t>
    </r>
    <r>
      <rPr>
        <b/>
        <i/>
        <u/>
        <sz val="9"/>
        <color theme="1" tint="0.499984740745262"/>
        <rFont val="Calibri"/>
        <family val="2"/>
        <scheme val="minor"/>
      </rPr>
      <t>only if</t>
    </r>
    <r>
      <rPr>
        <b/>
        <i/>
        <sz val="9"/>
        <color theme="1" tint="0.499984740745262"/>
        <rFont val="Calibri"/>
        <family val="2"/>
        <scheme val="minor"/>
      </rPr>
      <t xml:space="preserve"> you do not have a data on consumption (on the left side)</t>
    </r>
  </si>
  <si>
    <t>ESTIMATIONS BY FLOOR AREA</t>
  </si>
  <si>
    <t>FUEL</t>
  </si>
  <si>
    <t>COMPANY USE</t>
  </si>
  <si>
    <t>CONSUMPTION</t>
  </si>
  <si>
    <t>UNIT</t>
  </si>
  <si>
    <t>AREA</t>
  </si>
  <si>
    <t>Natural gas</t>
  </si>
  <si>
    <t>Burning oil</t>
  </si>
  <si>
    <t>Coal</t>
  </si>
  <si>
    <t>LPG</t>
  </si>
  <si>
    <t>Propane</t>
  </si>
  <si>
    <t>Not applicable</t>
  </si>
  <si>
    <t>NON-STATIONARY EMISSIONS</t>
  </si>
  <si>
    <t>Emissions resulting from fuel burned by your own fleet (i.e. company cars e.g. for the CEO) of motor vehicles. Remember to include fuel burned in vehicles owned or managed by your organisation (including leased vehicles). Private cars of employees should not be taken into account.</t>
  </si>
  <si>
    <t>ESTIMATIONS BY DISTANCE</t>
  </si>
  <si>
    <t>ESTIMATIONS BY EXPENSES</t>
  </si>
  <si>
    <t>&gt;&gt;&gt; 
Please fill in columns for estimations only if you do not have a data on consumption (on the left side)</t>
  </si>
  <si>
    <t>Type of a car</t>
  </si>
  <si>
    <t>KMs DRIVEN</t>
  </si>
  <si>
    <t>Diesel</t>
  </si>
  <si>
    <t>Petrol</t>
  </si>
  <si>
    <t>LNG</t>
  </si>
  <si>
    <t>CNG</t>
  </si>
  <si>
    <t>Hybrid cars</t>
  </si>
  <si>
    <t>AdBlue</t>
  </si>
  <si>
    <t>FUGITIVE EMISSIONS</t>
  </si>
  <si>
    <t xml:space="preserve">Fugitive emissions from refrigeration and air conditioning result from leakage and service over the operational life of the equipment and from disposal at the end of the useful life of the equipment. </t>
  </si>
  <si>
    <t>Please enter the amount of leakage or service over the operational life of the equipment and from disposal at the end of the useful life of the equipment. There is no possibility to estimate values.</t>
  </si>
  <si>
    <t>Dla CO2 emisyjnosc 1</t>
  </si>
  <si>
    <t>REFRIGERANTS</t>
  </si>
  <si>
    <t>No.</t>
  </si>
  <si>
    <t>NAME</t>
  </si>
  <si>
    <t>AMOUNT</t>
  </si>
  <si>
    <t>kg</t>
  </si>
  <si>
    <t>Emissions from direct technological processes</t>
  </si>
  <si>
    <t>Please answer the question below to proceed to agricultural-specific emissions</t>
  </si>
  <si>
    <t>Does your company operate in the agricultural industry?</t>
  </si>
  <si>
    <t>BELOW SECTION ONLY FOR AGRICULTURAL COMPANIES ↓↓↓</t>
  </si>
  <si>
    <t>Enteric fermentation is the process by which ruminant animals produce methane through digesting feed. Manure management refers to the process of managing the excretion of livestock, particularly when they are not on paddocks, but also covers losses from manure that is deposited by livestock directly onto pasture, and it is distinct from losses from agricultural soils. The storage and treatment of manure produces GHG emissions. Agricultural soils emit nitrous oxide due to the addition of nitrogen to soils through manure, dung and urine.</t>
  </si>
  <si>
    <t>Animal Type</t>
  </si>
  <si>
    <t>What % of manure goes into the field?</t>
  </si>
  <si>
    <t>Fertiliser type</t>
  </si>
  <si>
    <t>Non-urea nitrogen</t>
  </si>
  <si>
    <t>Urea nitrogen not coated with urease inhibitor</t>
  </si>
  <si>
    <t>Urea nitrogen coated with urease inhibitor</t>
  </si>
  <si>
    <t>No refrigerants</t>
  </si>
  <si>
    <t>R401A</t>
  </si>
  <si>
    <t>R401B</t>
  </si>
  <si>
    <t>R401C</t>
  </si>
  <si>
    <t>R402A</t>
  </si>
  <si>
    <t>R402B</t>
  </si>
  <si>
    <r>
      <t>m</t>
    </r>
    <r>
      <rPr>
        <vertAlign val="superscript"/>
        <sz val="11"/>
        <color theme="1"/>
        <rFont val="Calibri"/>
        <family val="2"/>
        <scheme val="minor"/>
      </rPr>
      <t>3</t>
    </r>
  </si>
  <si>
    <t>R403A</t>
  </si>
  <si>
    <t>GJ</t>
  </si>
  <si>
    <t>R403B</t>
  </si>
  <si>
    <t>R404A</t>
  </si>
  <si>
    <t>R405A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</si>
  <si>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</si>
  <si>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</si>
  <si>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</si>
  <si>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</si>
  <si>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</si>
  <si>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</si>
  <si>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</si>
  <si>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</si>
  <si>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</si>
  <si>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</si>
  <si>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</si>
  <si>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</si>
  <si>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</si>
  <si>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</si>
  <si>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</si>
  <si>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</si>
  <si>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</si>
  <si>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</si>
  <si>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</si>
  <si>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</si>
  <si>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</si>
  <si>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</si>
  <si>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</si>
  <si>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</si>
  <si>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</si>
  <si>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</si>
  <si>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</si>
  <si>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</si>
  <si>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</si>
  <si>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</si>
  <si>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</si>
  <si>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</si>
  <si>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</si>
  <si>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</si>
  <si>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</si>
  <si>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</si>
  <si>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</si>
  <si>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</si>
  <si>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</si>
  <si>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</si>
  <si>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</si>
  <si>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</si>
  <si>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</si>
  <si>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</si>
  <si>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</si>
  <si>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</si>
  <si>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</si>
  <si>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</si>
  <si>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</si>
  <si>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</si>
  <si>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</si>
  <si>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</si>
  <si>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</si>
  <si>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</si>
  <si>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</si>
  <si>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</si>
  <si>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</si>
  <si>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</si>
  <si>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</si>
  <si>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</si>
  <si>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</si>
  <si>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</si>
  <si>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</si>
  <si>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</si>
  <si>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</si>
  <si>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</si>
  <si>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</si>
  <si>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</si>
  <si>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R507A</t>
  </si>
  <si>
    <t>R508A</t>
  </si>
  <si>
    <t>R508B</t>
  </si>
  <si>
    <t>R509A</t>
  </si>
  <si>
    <t>R510A</t>
  </si>
  <si>
    <t>R511A</t>
  </si>
  <si>
    <t>R512A</t>
  </si>
  <si>
    <r>
      <t>CO</t>
    </r>
    <r>
      <rPr>
        <vertAlign val="subscript"/>
        <sz val="11"/>
        <color theme="1"/>
        <rFont val="Calibri"/>
        <family val="2"/>
        <scheme val="minor"/>
      </rPr>
      <t>2</t>
    </r>
  </si>
  <si>
    <t>&lt;Select country&gt;</t>
  </si>
  <si>
    <t>Austria</t>
  </si>
  <si>
    <t>Belgium</t>
  </si>
  <si>
    <t>Bulgaria</t>
  </si>
  <si>
    <t>Croatia</t>
  </si>
  <si>
    <t>Czechia</t>
  </si>
  <si>
    <t>Scope 2</t>
  </si>
  <si>
    <t>Denmark</t>
  </si>
  <si>
    <t>Scope 2 includes indirect energy emissions related to the consumption of electricity, district heating, technical steam or district cooling purchased by the organisation, i.e. for own and rented facilities under the operational control of the organisation (e.g. offices/warehouses).</t>
  </si>
  <si>
    <t>Finland</t>
  </si>
  <si>
    <t>France</t>
  </si>
  <si>
    <t>Germany</t>
  </si>
  <si>
    <t>ELECTRICITY</t>
  </si>
  <si>
    <t>Greece</t>
  </si>
  <si>
    <t>Hungary</t>
  </si>
  <si>
    <t>Ireland</t>
  </si>
  <si>
    <t>Unit</t>
  </si>
  <si>
    <t>Italy</t>
  </si>
  <si>
    <t>PURCHASE</t>
  </si>
  <si>
    <r>
      <t xml:space="preserve">How much </t>
    </r>
    <r>
      <rPr>
        <b/>
        <sz val="11"/>
        <color theme="1"/>
        <rFont val="Calibri"/>
        <family val="2"/>
        <scheme val="minor"/>
      </rPr>
      <t>RES electricity</t>
    </r>
    <r>
      <rPr>
        <sz val="11"/>
        <color theme="1"/>
        <rFont val="Calibri"/>
        <family val="2"/>
        <charset val="238"/>
        <scheme val="minor"/>
      </rPr>
      <t xml:space="preserve"> did you buy in the selected year?</t>
    </r>
  </si>
  <si>
    <r>
      <t xml:space="preserve">Do you have a signed </t>
    </r>
    <r>
      <rPr>
        <b/>
        <sz val="11"/>
        <color theme="1"/>
        <rFont val="Calibri"/>
        <family val="2"/>
        <scheme val="minor"/>
      </rPr>
      <t xml:space="preserve">contract/Power Purchase Agreement </t>
    </r>
    <r>
      <rPr>
        <sz val="11"/>
        <color theme="1"/>
        <rFont val="Calibri"/>
        <family val="2"/>
        <charset val="238"/>
        <scheme val="minor"/>
      </rPr>
      <t xml:space="preserve">(PPA) or </t>
    </r>
    <r>
      <rPr>
        <b/>
        <sz val="11"/>
        <color theme="1"/>
        <rFont val="Calibri"/>
        <family val="2"/>
        <scheme val="minor"/>
      </rPr>
      <t>guarantees of origin</t>
    </r>
    <r>
      <rPr>
        <sz val="11"/>
        <color theme="1"/>
        <rFont val="Calibri"/>
        <family val="2"/>
        <charset val="238"/>
        <scheme val="minor"/>
      </rPr>
      <t xml:space="preserve"> that you buy yourself for RES electricity?</t>
    </r>
  </si>
  <si>
    <r>
      <t xml:space="preserve">↓↓↓ Please fill in columns for estimations </t>
    </r>
    <r>
      <rPr>
        <b/>
        <i/>
        <u/>
        <sz val="10"/>
        <color theme="0" tint="-0.499984740745262"/>
        <rFont val="Calibri"/>
        <family val="2"/>
        <scheme val="minor"/>
      </rPr>
      <t>only if</t>
    </r>
    <r>
      <rPr>
        <b/>
        <i/>
        <sz val="10"/>
        <color theme="0" tint="-0.499984740745262"/>
        <rFont val="Calibri"/>
        <family val="2"/>
        <scheme val="minor"/>
      </rPr>
      <t xml:space="preserve"> you do not have data above ↓↓↓</t>
    </r>
  </si>
  <si>
    <t>Netherlands</t>
  </si>
  <si>
    <t>ESTIMATION: How much did you pay for non-RES electricty in the year selected?</t>
  </si>
  <si>
    <t>Poland</t>
  </si>
  <si>
    <t>ESTIMATION: How much did you pay for RES electricity in the year selected?</t>
  </si>
  <si>
    <t>Portugal</t>
  </si>
  <si>
    <t>HEATING, COOLING AND PROCESS ENERGY (STEAM)</t>
  </si>
  <si>
    <r>
      <rPr>
        <i/>
        <sz val="10"/>
        <color theme="1"/>
        <rFont val="Calibri"/>
        <family val="2"/>
        <scheme val="minor"/>
      </rPr>
      <t xml:space="preserve">Data on </t>
    </r>
    <r>
      <rPr>
        <b/>
        <i/>
        <sz val="10"/>
        <color theme="1"/>
        <rFont val="Calibri"/>
        <family val="2"/>
        <scheme val="minor"/>
      </rPr>
      <t>externally</t>
    </r>
    <r>
      <rPr>
        <i/>
        <sz val="10"/>
        <color theme="1"/>
        <rFont val="Calibri"/>
        <family val="2"/>
        <scheme val="minor"/>
      </rPr>
      <t xml:space="preserve"> purchased or supplied heat/cooling energy, e.g. district heating.  Please note that district heat is NOT heat purchased from a local boiler house, just as district cooling is NOT chilled water purchased from a local chiller or air conditioning unit (cases encountered, for example, in rented offices). Do not include the energy you produce that comes from RES. It does not generate emissions in Scope 2.</t>
    </r>
    <r>
      <rPr>
        <sz val="10"/>
        <color theme="1"/>
        <rFont val="Calibri"/>
        <family val="2"/>
        <scheme val="minor"/>
      </rPr>
      <t xml:space="preserve"> 
Please be aware that the most accurate level of emissions will be achieved by providing </t>
    </r>
    <r>
      <rPr>
        <b/>
        <sz val="10"/>
        <color theme="4"/>
        <rFont val="Calibri"/>
        <family val="2"/>
        <scheme val="minor"/>
      </rPr>
      <t>real consumption data</t>
    </r>
    <r>
      <rPr>
        <sz val="10"/>
        <color theme="1"/>
        <rFont val="Calibri"/>
        <family val="2"/>
        <scheme val="minor"/>
      </rPr>
      <t>, not by</t>
    </r>
    <r>
      <rPr>
        <b/>
        <sz val="10"/>
        <color theme="1"/>
        <rFont val="Calibri"/>
        <family val="2"/>
        <scheme val="minor"/>
      </rPr>
      <t xml:space="preserve"> area.</t>
    </r>
  </si>
  <si>
    <t>Category</t>
  </si>
  <si>
    <t>Heating energy</t>
  </si>
  <si>
    <t>Cooling energy</t>
  </si>
  <si>
    <t>Steam</t>
  </si>
  <si>
    <t>RES</t>
  </si>
  <si>
    <t>NON-RES</t>
  </si>
  <si>
    <t>Heating</t>
  </si>
  <si>
    <t>Cooling</t>
  </si>
  <si>
    <t>Total emissions</t>
  </si>
  <si>
    <t>Total Scope 1 emissions</t>
  </si>
  <si>
    <t>Total Scope 2 emissions</t>
  </si>
  <si>
    <t>Total Scope 3 emissions</t>
  </si>
  <si>
    <r>
      <t>tCO</t>
    </r>
    <r>
      <rPr>
        <vertAlign val="subscript"/>
        <sz val="11"/>
        <color theme="1"/>
        <rFont val="Calibri"/>
        <family val="2"/>
        <scheme val="minor"/>
      </rPr>
      <t>2</t>
    </r>
    <r>
      <rPr>
        <sz val="11"/>
        <color theme="1"/>
        <rFont val="Calibri"/>
        <family val="2"/>
        <charset val="238"/>
        <scheme val="minor"/>
      </rPr>
      <t>e/year</t>
    </r>
  </si>
  <si>
    <t>Volkswagen Golf</t>
  </si>
  <si>
    <t>tree</t>
  </si>
  <si>
    <t>gCO2e/km</t>
  </si>
  <si>
    <t>6-7kgCO2/year</t>
  </si>
  <si>
    <t>trees to absorb generated emissions within 1 year</t>
  </si>
  <si>
    <t>kms driven (petrol)</t>
  </si>
  <si>
    <t>times travelling 
around the globe by car</t>
  </si>
  <si>
    <t>Scope 1 (direct emissions)</t>
  </si>
  <si>
    <t>Stationary emissions</t>
  </si>
  <si>
    <t>Non-stationary emissions</t>
  </si>
  <si>
    <t>Fugitive emissions</t>
  </si>
  <si>
    <r>
      <t>Total % of</t>
    </r>
    <r>
      <rPr>
        <b/>
        <sz val="11"/>
        <color theme="1"/>
        <rFont val="Calibri"/>
        <family val="2"/>
        <scheme val="minor"/>
      </rPr>
      <t xml:space="preserve"> </t>
    </r>
    <r>
      <rPr>
        <b/>
        <sz val="11"/>
        <color theme="4"/>
        <rFont val="Calibri"/>
        <family val="2"/>
        <scheme val="minor"/>
      </rPr>
      <t>ACTUAL</t>
    </r>
    <r>
      <rPr>
        <b/>
        <sz val="11"/>
        <color theme="1"/>
        <rFont val="Calibri"/>
        <family val="2"/>
        <scheme val="minor"/>
      </rPr>
      <t xml:space="preserve"> data</t>
    </r>
    <r>
      <rPr>
        <sz val="11"/>
        <color theme="1"/>
        <rFont val="Calibri"/>
        <family val="2"/>
        <charset val="238"/>
        <scheme val="minor"/>
      </rPr>
      <t>:</t>
    </r>
  </si>
  <si>
    <t>Scope 2 (indirect emissions)</t>
  </si>
  <si>
    <t>Electricity</t>
  </si>
  <si>
    <t>Heating/cooling energy</t>
  </si>
  <si>
    <r>
      <t>tCO</t>
    </r>
    <r>
      <rPr>
        <b/>
        <vertAlign val="subscript"/>
        <sz val="11"/>
        <color theme="1"/>
        <rFont val="Calibri"/>
        <family val="2"/>
        <scheme val="minor"/>
      </rPr>
      <t>2</t>
    </r>
    <r>
      <rPr>
        <b/>
        <sz val="11"/>
        <color theme="1"/>
        <rFont val="Calibri"/>
        <family val="2"/>
        <scheme val="minor"/>
      </rPr>
      <t>e/year</t>
    </r>
  </si>
  <si>
    <t>Share of Scope 1 and 2 [%]</t>
  </si>
  <si>
    <t>Breakdown of Scope 1 GHG emissions  [tCO2e]</t>
  </si>
  <si>
    <t>Breakdown of Scope 2 GHG emissions  [tCO2e]</t>
  </si>
  <si>
    <t>VALUE &amp; UNITS</t>
  </si>
  <si>
    <t>EMISSIONS FACTOR</t>
  </si>
  <si>
    <t>CALCULATED EMISSIONS</t>
  </si>
  <si>
    <t>Year</t>
  </si>
  <si>
    <t>Value A</t>
  </si>
  <si>
    <t>Unit A</t>
  </si>
  <si>
    <t>Value B</t>
  </si>
  <si>
    <t>Unit B</t>
  </si>
  <si>
    <t>Value C</t>
  </si>
  <si>
    <t>Unit C</t>
  </si>
  <si>
    <t>Emissions factor A</t>
  </si>
  <si>
    <t>Emissions factor B</t>
  </si>
  <si>
    <t>Emissions factor C</t>
  </si>
  <si>
    <t>EMISSIONS A</t>
  </si>
  <si>
    <t>EMISSIONS B</t>
  </si>
  <si>
    <t>EMISSIONS C</t>
  </si>
  <si>
    <t>EMISSIONS TOTAL</t>
  </si>
  <si>
    <t>tCO2e</t>
  </si>
  <si>
    <t>Emissions from direct processes</t>
  </si>
  <si>
    <t>AGRICULTURE</t>
  </si>
  <si>
    <t>TOTAL PURCHASE</t>
  </si>
  <si>
    <t>RES PURCHASE</t>
  </si>
  <si>
    <t>HEATING, COOLING, STEAM</t>
  </si>
  <si>
    <t>CO2</t>
  </si>
  <si>
    <t>CH4</t>
  </si>
  <si>
    <t>N2O</t>
  </si>
  <si>
    <t>Base unit</t>
  </si>
  <si>
    <t>Emission unit</t>
  </si>
  <si>
    <t>Source 2022</t>
  </si>
  <si>
    <t>Building Type</t>
  </si>
  <si>
    <t>Energy consumption</t>
  </si>
  <si>
    <t>Office (air conditioned, standard)</t>
  </si>
  <si>
    <t>kWh/m2</t>
  </si>
  <si>
    <t>Office (air conditioned, prestige)</t>
  </si>
  <si>
    <t>Industrial buildings post-1995 [&lt;5000m2]</t>
  </si>
  <si>
    <t>Industrial buildings post-1995 [&gt;5000m2]</t>
  </si>
  <si>
    <t>Industrial buildings pre-1995 [&lt;5000m2]</t>
  </si>
  <si>
    <t>Industrial buildings pre-1995 [&gt;5000m2]</t>
  </si>
  <si>
    <t>Distribution warehouses</t>
  </si>
  <si>
    <t>Average</t>
  </si>
  <si>
    <t>km</t>
  </si>
  <si>
    <t>Freight</t>
  </si>
  <si>
    <t>DEFRA 2022</t>
  </si>
  <si>
    <t>tkm</t>
  </si>
  <si>
    <t>Products tanker</t>
  </si>
  <si>
    <t>l</t>
  </si>
  <si>
    <t>Fuels</t>
  </si>
  <si>
    <t>t</t>
  </si>
  <si>
    <t>Naphta</t>
  </si>
  <si>
    <t>based on DEFRA 2022</t>
  </si>
  <si>
    <t>m3</t>
  </si>
  <si>
    <t>Heat</t>
  </si>
  <si>
    <t>based on DEBRA 2022</t>
  </si>
  <si>
    <t>Refrigerants</t>
  </si>
  <si>
    <t>R448A</t>
  </si>
  <si>
    <t>R449A</t>
  </si>
  <si>
    <t>R134A</t>
  </si>
  <si>
    <t>R290</t>
  </si>
  <si>
    <t>R507</t>
  </si>
  <si>
    <t>R422d</t>
  </si>
  <si>
    <t>R134</t>
  </si>
  <si>
    <t>R744</t>
  </si>
  <si>
    <t>R32</t>
  </si>
  <si>
    <t>R600</t>
  </si>
  <si>
    <t>R452A</t>
  </si>
  <si>
    <t>Passenger vehicles</t>
  </si>
  <si>
    <t>VAN - Diesel</t>
  </si>
  <si>
    <t>Delivery vehicles</t>
  </si>
  <si>
    <t>VAN - Petrol</t>
  </si>
  <si>
    <t>VAN - CNG</t>
  </si>
  <si>
    <t>VAN - LPG</t>
  </si>
  <si>
    <t>VAN - Unknown</t>
  </si>
  <si>
    <t>per head</t>
  </si>
  <si>
    <t>kg N</t>
  </si>
  <si>
    <t>Expenses</t>
  </si>
  <si>
    <t>Enteric Fermantation</t>
  </si>
  <si>
    <t>Manure Management</t>
  </si>
  <si>
    <t>Agricultural soils</t>
  </si>
  <si>
    <t>Soil Emissions</t>
  </si>
  <si>
    <t>EF Dairy Cattle</t>
  </si>
  <si>
    <t>EF Sheep</t>
  </si>
  <si>
    <t>EF Non-dairy cattle</t>
  </si>
  <si>
    <t>EF Swine</t>
  </si>
  <si>
    <t>EF Goats</t>
  </si>
  <si>
    <t>EF Horses</t>
  </si>
  <si>
    <t>EF Poultry</t>
  </si>
  <si>
    <t>EF Rabbit</t>
  </si>
  <si>
    <t>MM Dairy Cattle</t>
  </si>
  <si>
    <t>MM Sheep</t>
  </si>
  <si>
    <t>MM Swine</t>
  </si>
  <si>
    <t>MM Goats</t>
  </si>
  <si>
    <t>MM Horses</t>
  </si>
  <si>
    <t>MM Poultry</t>
  </si>
  <si>
    <t>MM Rabbit</t>
  </si>
  <si>
    <t>AS Dairy Cattle</t>
  </si>
  <si>
    <t>AS Non-diary cattle</t>
  </si>
  <si>
    <t>AS Sheep</t>
  </si>
  <si>
    <t>AS Rabbit</t>
  </si>
  <si>
    <t>AS Swine</t>
  </si>
  <si>
    <t>AS Goats</t>
  </si>
  <si>
    <t>AS Horses</t>
  </si>
  <si>
    <t>AS Poultry</t>
  </si>
  <si>
    <t>MM Non-dairy cattle</t>
  </si>
  <si>
    <r>
      <t xml:space="preserve">How much </t>
    </r>
    <r>
      <rPr>
        <b/>
        <sz val="11"/>
        <color theme="1"/>
        <rFont val="Calibri"/>
        <family val="2"/>
        <scheme val="minor"/>
      </rPr>
      <t xml:space="preserve">non-RES* electricity </t>
    </r>
    <r>
      <rPr>
        <sz val="11"/>
        <color theme="1"/>
        <rFont val="Calibri"/>
        <family val="2"/>
        <charset val="238"/>
        <scheme val="minor"/>
      </rPr>
      <t>did you purchase in the selected year?</t>
    </r>
  </si>
  <si>
    <t>* RES - renewable energy sources</t>
  </si>
  <si>
    <t>Due to lack of data available, value taken from the previous year</t>
  </si>
  <si>
    <t>https://kasvuhoonegaasid.ee/#/emission-factors/inventory-emission-factors/i_heat_EF</t>
  </si>
  <si>
    <t>tCO2</t>
  </si>
  <si>
    <t>GHG National inventory report</t>
  </si>
  <si>
    <t>Bioenergy</t>
  </si>
  <si>
    <t>Biomass:</t>
  </si>
  <si>
    <t>Biomass - wood logs</t>
  </si>
  <si>
    <t>Biomass - wood chips</t>
  </si>
  <si>
    <t>Biomass - wood pellets</t>
  </si>
  <si>
    <t>Biomass - grass/straw</t>
  </si>
  <si>
    <t>Please note that according to GHG Protocol, emissions form biomass are outside of the inventory of scope 1 emissions</t>
  </si>
  <si>
    <t>Applicable?</t>
  </si>
  <si>
    <r>
      <t>Emissions from biomass (only CO</t>
    </r>
    <r>
      <rPr>
        <b/>
        <vertAlign val="subscript"/>
        <sz val="11"/>
        <color theme="0" tint="-0.499984740745262"/>
        <rFont val="Calibri"/>
        <family val="2"/>
        <charset val="238"/>
        <scheme val="minor"/>
      </rPr>
      <t>2</t>
    </r>
    <r>
      <rPr>
        <b/>
        <sz val="11"/>
        <color theme="0" tint="-0.499984740745262"/>
        <rFont val="Calibri"/>
        <family val="2"/>
        <scheme val="minor"/>
      </rPr>
      <t>)</t>
    </r>
  </si>
  <si>
    <r>
      <t>tCO</t>
    </r>
    <r>
      <rPr>
        <b/>
        <vertAlign val="subscript"/>
        <sz val="11"/>
        <color theme="0" tint="-0.499984740745262"/>
        <rFont val="Calibri"/>
        <family val="2"/>
        <scheme val="minor"/>
      </rPr>
      <t>2</t>
    </r>
    <r>
      <rPr>
        <b/>
        <sz val="11"/>
        <color theme="0" tint="-0.499984740745262"/>
        <rFont val="Calibri"/>
        <family val="2"/>
        <scheme val="minor"/>
      </rPr>
      <t>/year</t>
    </r>
  </si>
  <si>
    <t>Category 3: Fuel- and energy-related activities</t>
  </si>
  <si>
    <t>Category 4: Transportation &amp; distribution upstream</t>
  </si>
  <si>
    <t>Category 5: Waste generated in operations</t>
  </si>
  <si>
    <t>Category 6: Business travel</t>
  </si>
  <si>
    <t>Category 7: Employee commuting</t>
  </si>
  <si>
    <t>Category 9: Transportation &amp; distribution downstream</t>
  </si>
  <si>
    <t>Category 10: Processing of sold products</t>
  </si>
  <si>
    <t>Category 11: Use of sold products</t>
  </si>
  <si>
    <t>Category 12: End of life treatment of sold products</t>
  </si>
  <si>
    <t>Category 13: Downstream leased assets</t>
  </si>
  <si>
    <t>Category 14: Franchises</t>
  </si>
  <si>
    <t>Category 15: Investments</t>
  </si>
  <si>
    <t>Covered in the calculations?</t>
  </si>
  <si>
    <t>Commentary?</t>
  </si>
  <si>
    <t>Category 1: Purchased goods and services</t>
  </si>
  <si>
    <t>Category 2: Capital goods</t>
  </si>
  <si>
    <t>Please provide total emissions in scope 3 
in a reporting year:</t>
  </si>
  <si>
    <t>Covered categories</t>
  </si>
  <si>
    <t>Heating oil</t>
  </si>
  <si>
    <r>
      <t>Natural gas</t>
    </r>
    <r>
      <rPr>
        <sz val="11"/>
        <color theme="4"/>
        <rFont val="Calibri"/>
        <family val="2"/>
        <charset val="238"/>
        <scheme val="minor"/>
      </rPr>
      <t>*</t>
    </r>
  </si>
  <si>
    <t>BIOGENIC SOURCES</t>
  </si>
  <si>
    <t>Please provide information regarding included categories and covered emissions sources</t>
  </si>
  <si>
    <t xml:space="preserve"> -  please fill in the information below only if Scope 3 emissions are calculated  - </t>
  </si>
  <si>
    <t>19. ARTS, ENTERTAINMENT &amp; RECREATION</t>
  </si>
  <si>
    <r>
      <t>Diesel</t>
    </r>
    <r>
      <rPr>
        <sz val="11"/>
        <color theme="4"/>
        <rFont val="Calibri"/>
        <family val="2"/>
        <charset val="238"/>
        <scheme val="minor"/>
      </rPr>
      <t>**</t>
    </r>
  </si>
  <si>
    <t>Symbol</t>
  </si>
  <si>
    <t>Number</t>
  </si>
  <si>
    <t>Standard form</t>
  </si>
  <si>
    <t>Abbreviation</t>
  </si>
  <si>
    <t>Kilo</t>
  </si>
  <si>
    <t>k</t>
  </si>
  <si>
    <t>10 3</t>
  </si>
  <si>
    <t>Mega</t>
  </si>
  <si>
    <t>M</t>
  </si>
  <si>
    <t>10 6</t>
  </si>
  <si>
    <t>Giga</t>
  </si>
  <si>
    <t>G</t>
  </si>
  <si>
    <t>10 9</t>
  </si>
  <si>
    <t>Tera</t>
  </si>
  <si>
    <t>T</t>
  </si>
  <si>
    <t>10 12</t>
  </si>
  <si>
    <t>Peta</t>
  </si>
  <si>
    <t>P</t>
  </si>
  <si>
    <t>10 15</t>
  </si>
  <si>
    <t>therm</t>
  </si>
  <si>
    <t>toe</t>
  </si>
  <si>
    <t>kcal</t>
  </si>
  <si>
    <t>Energy</t>
  </si>
  <si>
    <t>Gigajoule, GJ</t>
  </si>
  <si>
    <t>Kilowatt-hour, kWh</t>
  </si>
  <si>
    <t>Therm</t>
  </si>
  <si>
    <t>Tonne oil equivalent, toe</t>
  </si>
  <si>
    <t>Kilocalorie, kcal</t>
  </si>
  <si>
    <t>L</t>
  </si>
  <si>
    <t>cu ft</t>
  </si>
  <si>
    <t>Imp. gallon</t>
  </si>
  <si>
    <t>US gallon</t>
  </si>
  <si>
    <t>Bbl (US,P)</t>
  </si>
  <si>
    <t>Volume</t>
  </si>
  <si>
    <t>Litres, L</t>
  </si>
  <si>
    <t>Cubic metres, m3</t>
  </si>
  <si>
    <t>Cubic feet, cu ft</t>
  </si>
  <si>
    <t>Imperial gallon</t>
  </si>
  <si>
    <t>Barrel (US, petroleum), bbl</t>
  </si>
  <si>
    <t>tonne</t>
  </si>
  <si>
    <t>ton (UK)</t>
  </si>
  <si>
    <t>ton (US)</t>
  </si>
  <si>
    <t>lb</t>
  </si>
  <si>
    <t>Weight/mass</t>
  </si>
  <si>
    <t>Kilogram, kg</t>
  </si>
  <si>
    <t>tonne, t (metric ton)</t>
  </si>
  <si>
    <t>ton (UK, long ton)</t>
  </si>
  <si>
    <t>ton (US, short ton)</t>
  </si>
  <si>
    <t>Pound, lb</t>
  </si>
  <si>
    <t>m</t>
  </si>
  <si>
    <t>ft</t>
  </si>
  <si>
    <t>mi</t>
  </si>
  <si>
    <t>nmi</t>
  </si>
  <si>
    <t>Length / distance</t>
  </si>
  <si>
    <t>Metre, m</t>
  </si>
  <si>
    <t>Feet, ft</t>
  </si>
  <si>
    <t>Miles, mi</t>
  </si>
  <si>
    <t>Kilometres, km</t>
  </si>
  <si>
    <t>Nautical miles, nmi or NM</t>
  </si>
  <si>
    <t>in</t>
  </si>
  <si>
    <t>cm</t>
  </si>
  <si>
    <t>yd</t>
  </si>
  <si>
    <t>Inch, in</t>
  </si>
  <si>
    <t>Centimetres, cm</t>
  </si>
  <si>
    <t>Yard, yd</t>
  </si>
  <si>
    <t>*source: DEFRA 2022</t>
  </si>
  <si>
    <t>Net CV</t>
  </si>
  <si>
    <t>Gross CV</t>
  </si>
  <si>
    <t>Density</t>
  </si>
  <si>
    <t>Density*</t>
  </si>
  <si>
    <t>GJ/tonne</t>
  </si>
  <si>
    <t>kg/m3</t>
  </si>
  <si>
    <t>litres/tonne</t>
  </si>
  <si>
    <t>kWh/kg</t>
  </si>
  <si>
    <t>kWh/litre</t>
  </si>
  <si>
    <t>Commonly Used Fossil Fuels</t>
  </si>
  <si>
    <t>Aviation Spirit</t>
  </si>
  <si>
    <t>Aviation Turbine Fuel</t>
  </si>
  <si>
    <t>Burning Oil</t>
  </si>
  <si>
    <t>Butane</t>
  </si>
  <si>
    <t>Coal (domestic)</t>
  </si>
  <si>
    <t>Coal (electricity generation)</t>
  </si>
  <si>
    <t>Coal (electricity generation - home produced coal only)</t>
  </si>
  <si>
    <t>Coal (industrial)</t>
  </si>
  <si>
    <t>Coking Coal</t>
  </si>
  <si>
    <t>Diesel (100% mineral diesel)</t>
  </si>
  <si>
    <t>Diesel (average biofuel blend)</t>
  </si>
  <si>
    <t>Fuel Oil</t>
  </si>
  <si>
    <t>Gas Oil</t>
  </si>
  <si>
    <t>Lubricants</t>
  </si>
  <si>
    <t>Naphtha</t>
  </si>
  <si>
    <t>Natural Gas</t>
  </si>
  <si>
    <t>Natural Gas (100% mineral blend)</t>
  </si>
  <si>
    <t>Other petroleum gas</t>
  </si>
  <si>
    <t>Petroleum coke</t>
  </si>
  <si>
    <t>Petrol (100% mineral petrol)</t>
  </si>
  <si>
    <t>Petrol (average biofuel blend)</t>
  </si>
  <si>
    <t>Waste oils</t>
  </si>
  <si>
    <t>Other fuels</t>
  </si>
  <si>
    <t>Biodiesel (ME)</t>
  </si>
  <si>
    <t>Biodiesel (BtL or HVO)</t>
  </si>
  <si>
    <t>Bioethanol</t>
  </si>
  <si>
    <t>BioETBE</t>
  </si>
  <si>
    <t>Biogas</t>
  </si>
  <si>
    <t xml:space="preserve">Biomethane </t>
  </si>
  <si>
    <t>Grasses/Straw</t>
  </si>
  <si>
    <t>Landfill Gas</t>
  </si>
  <si>
    <t>Wood Chips</t>
  </si>
  <si>
    <t>Wood Logs</t>
  </si>
  <si>
    <t>Wood Pellets</t>
  </si>
  <si>
    <t>Gases</t>
  </si>
  <si>
    <r>
      <t>Methane (CH</t>
    </r>
    <r>
      <rPr>
        <vertAlign val="subscript"/>
        <sz val="10"/>
        <rFont val="Calibri"/>
        <family val="2"/>
        <charset val="238"/>
      </rPr>
      <t>4</t>
    </r>
    <r>
      <rPr>
        <sz val="10"/>
        <rFont val="Calibri"/>
        <family val="2"/>
        <charset val="238"/>
      </rPr>
      <t>)</t>
    </r>
  </si>
  <si>
    <r>
      <t>Carbon Dioxide (CO</t>
    </r>
    <r>
      <rPr>
        <vertAlign val="subscript"/>
        <sz val="10"/>
        <rFont val="Calibri"/>
        <family val="2"/>
        <charset val="238"/>
      </rPr>
      <t>2</t>
    </r>
    <r>
      <rPr>
        <sz val="10"/>
        <rFont val="Calibri"/>
        <family val="2"/>
        <charset val="238"/>
      </rPr>
      <t>)</t>
    </r>
  </si>
  <si>
    <t>CONVERSION FACTORS</t>
  </si>
  <si>
    <t>FUEL PROPERTIES</t>
  </si>
  <si>
    <t>Biogenic emissions</t>
  </si>
  <si>
    <t>AS Dairy Cattle Estonia</t>
  </si>
  <si>
    <t>AS Non-diary cattle Estonia</t>
  </si>
  <si>
    <t>AS Sheep Estonia</t>
  </si>
  <si>
    <t>AS Rabbit Estonia</t>
  </si>
  <si>
    <t>AS Swine Estonia</t>
  </si>
  <si>
    <t>AS Goats Estonia</t>
  </si>
  <si>
    <t>AS Horses Estonia</t>
  </si>
  <si>
    <t>AS Poultry Estonia</t>
  </si>
  <si>
    <t>EF Dairy cattle Estonia</t>
  </si>
  <si>
    <t>EF Non-dairy cattle Estonia</t>
  </si>
  <si>
    <t>EF Sheep Estonia</t>
  </si>
  <si>
    <t>EF Swine Estonia</t>
  </si>
  <si>
    <t>EF Goats Estonia</t>
  </si>
  <si>
    <t>EF Horses Estonia</t>
  </si>
  <si>
    <t>EF Poultry Estonia</t>
  </si>
  <si>
    <t>EF Rabbit Estonia</t>
  </si>
  <si>
    <t>MM Dairy cattle Estonia</t>
  </si>
  <si>
    <t>MM Non-dairy cattle Estonia</t>
  </si>
  <si>
    <t>MM Sheep Estonia</t>
  </si>
  <si>
    <t>MM Swine Estonia</t>
  </si>
  <si>
    <t>MM Goats Estonia</t>
  </si>
  <si>
    <t>MM Horses Estonia</t>
  </si>
  <si>
    <t>MM Poultry Estonia</t>
  </si>
  <si>
    <t>MM Rabbit Estonia</t>
  </si>
  <si>
    <t>Non-urea nitrogen Estonia</t>
  </si>
  <si>
    <t>Urea nitrogen not coated with urease inhibitor Estonia</t>
  </si>
  <si>
    <t>Urea nitrogen coated with urease inhibitor Estonia</t>
  </si>
  <si>
    <t>EF Dairy cattle Lithuania</t>
  </si>
  <si>
    <t>EF Non-dairy cattle Lithuania</t>
  </si>
  <si>
    <t>EF Sheep Lithuania</t>
  </si>
  <si>
    <t>EF Swine Lithuania</t>
  </si>
  <si>
    <t>EF Goats Lithuania</t>
  </si>
  <si>
    <t>EF Horses Lithuania</t>
  </si>
  <si>
    <t>EF Poultry Lithuania</t>
  </si>
  <si>
    <t>EF Rabbit Lithuania</t>
  </si>
  <si>
    <t>MM Dairy cattle Lithuania</t>
  </si>
  <si>
    <t>MM Non-dairy cattle Lithuania</t>
  </si>
  <si>
    <t>MM Sheep Lithuania</t>
  </si>
  <si>
    <t>MM Swine Lithuania</t>
  </si>
  <si>
    <t>MM Goats Lithuania</t>
  </si>
  <si>
    <t>MM Horses Lithuania</t>
  </si>
  <si>
    <t>MM Poultry Lithuania</t>
  </si>
  <si>
    <t>MM Rabbit Lithuania</t>
  </si>
  <si>
    <t>Non-urea nitrogen Lithuania</t>
  </si>
  <si>
    <t>Urea nitrogen not coated with urease inhibitor Lithuania</t>
  </si>
  <si>
    <t>Urea nitrogen coated with urease inhibitor Lithuania</t>
  </si>
  <si>
    <t>EF Dairy cattle Latvia</t>
  </si>
  <si>
    <t>EF Non-dairy cattle Latvia</t>
  </si>
  <si>
    <t>EF Sheep Latvia</t>
  </si>
  <si>
    <t>EF Swine Latvia</t>
  </si>
  <si>
    <t>EF Goats Latvia</t>
  </si>
  <si>
    <t>EF Horses Latvia</t>
  </si>
  <si>
    <t>EF Poultry Latvia</t>
  </si>
  <si>
    <t>EF Rabbit Latvia</t>
  </si>
  <si>
    <t>MM Dairy cattle Latvia</t>
  </si>
  <si>
    <t>MM Non-dairy cattle Latvia</t>
  </si>
  <si>
    <t>MM Sheep Latvia</t>
  </si>
  <si>
    <t>MM Swine Latvia</t>
  </si>
  <si>
    <t>MM Goats Latvia</t>
  </si>
  <si>
    <t>MM Horses Latvia</t>
  </si>
  <si>
    <t>MM Poultry Latvia</t>
  </si>
  <si>
    <t>MM Rabbit Latvia</t>
  </si>
  <si>
    <t>Non-urea nitrogen Latvia</t>
  </si>
  <si>
    <t>Urea nitrogen not coated with urease inhibitor Latvia</t>
  </si>
  <si>
    <t>Urea nitrogen coated with urease inhibitor Latvia</t>
  </si>
  <si>
    <r>
      <t>Number of animals</t>
    </r>
    <r>
      <rPr>
        <b/>
        <sz val="11"/>
        <color theme="4"/>
        <rFont val="Calibri"/>
        <family val="2"/>
        <charset val="238"/>
        <scheme val="minor"/>
      </rPr>
      <t>*</t>
    </r>
  </si>
  <si>
    <r>
      <rPr>
        <i/>
        <sz val="9"/>
        <color theme="4"/>
        <rFont val="Calibri"/>
        <family val="2"/>
        <scheme val="minor"/>
      </rPr>
      <t>*</t>
    </r>
    <r>
      <rPr>
        <i/>
        <sz val="9"/>
        <color theme="2" tint="-0.499984740745262"/>
        <rFont val="Calibri"/>
        <family val="2"/>
        <scheme val="minor"/>
      </rPr>
      <t>Fugitive emissions from direct technological processes. If applicable, please provide the amount of emissions generated through technological process within the organization.</t>
    </r>
  </si>
  <si>
    <r>
      <t>*</t>
    </r>
    <r>
      <rPr>
        <i/>
        <sz val="9"/>
        <color theme="2" tint="-0.499984740745262"/>
        <rFont val="Calibri"/>
        <family val="2"/>
        <charset val="238"/>
        <scheme val="minor"/>
      </rPr>
      <t>please include also natural gas in form of LNG and CNG (taking into account different density between LNG, CNG and natural gas in gaseus state)</t>
    </r>
  </si>
  <si>
    <r>
      <t>**</t>
    </r>
    <r>
      <rPr>
        <i/>
        <sz val="9"/>
        <color theme="2" tint="-0.499984740745262"/>
        <rFont val="Calibri"/>
        <family val="2"/>
        <charset val="238"/>
        <scheme val="minor"/>
      </rPr>
      <t>please include here also similar fuels such as burning oil, shale oil, kerosene, etc.</t>
    </r>
  </si>
  <si>
    <r>
      <t xml:space="preserve">Please complete the data for all types of fuel consumed in stationary sources in the selected year. To start filling the data, please tick the box next to the selected fuel in the "Company use" column.
Please be aware that the most accurate level of emissions will be achieved by providing </t>
    </r>
    <r>
      <rPr>
        <b/>
        <sz val="10"/>
        <color theme="4"/>
        <rFont val="Calibri"/>
        <family val="2"/>
        <scheme val="minor"/>
      </rPr>
      <t>real consumption data</t>
    </r>
    <r>
      <rPr>
        <sz val="10"/>
        <color theme="1"/>
        <rFont val="Calibri"/>
        <family val="2"/>
        <scheme val="minor"/>
      </rPr>
      <t>, not by floor</t>
    </r>
    <r>
      <rPr>
        <sz val="10"/>
        <color theme="4"/>
        <rFont val="Calibri"/>
        <family val="2"/>
        <charset val="238"/>
        <scheme val="minor"/>
      </rPr>
      <t xml:space="preserve"> </t>
    </r>
    <r>
      <rPr>
        <b/>
        <sz val="10"/>
        <color theme="4"/>
        <rFont val="Calibri"/>
        <family val="2"/>
        <charset val="238"/>
        <scheme val="minor"/>
      </rPr>
      <t>area</t>
    </r>
    <r>
      <rPr>
        <b/>
        <sz val="10"/>
        <color theme="1"/>
        <rFont val="Calibri"/>
        <family val="2"/>
        <scheme val="minor"/>
      </rPr>
      <t>.</t>
    </r>
  </si>
  <si>
    <t>ENTERIC FERMENTATION, MANURE MANAGEMENT AND ORGANIC FERTILISER</t>
  </si>
  <si>
    <r>
      <t>SOIL N</t>
    </r>
    <r>
      <rPr>
        <b/>
        <vertAlign val="subscript"/>
        <sz val="12"/>
        <color theme="4"/>
        <rFont val="Calibri"/>
        <family val="2"/>
        <charset val="238"/>
        <scheme val="minor"/>
      </rPr>
      <t>2</t>
    </r>
    <r>
      <rPr>
        <b/>
        <sz val="12"/>
        <color theme="4"/>
        <rFont val="Calibri"/>
        <family val="2"/>
        <scheme val="minor"/>
      </rPr>
      <t>O EMISSIONS (MAINLY INORGANIC FERTILISERS)</t>
    </r>
  </si>
  <si>
    <t>AS Non-diary cattle Latvia</t>
  </si>
  <si>
    <t>AS Sheep Latvia</t>
  </si>
  <si>
    <t>AS Rabbit Latvia</t>
  </si>
  <si>
    <t>AS Swine Latvia</t>
  </si>
  <si>
    <t>AS Goats Latvia</t>
  </si>
  <si>
    <t>AS Horses Latvia</t>
  </si>
  <si>
    <t>AS Poultry Latvia</t>
  </si>
  <si>
    <t>AS Dairy Cattle Latvia</t>
  </si>
  <si>
    <t>AS Non-diary cattle Lithuania</t>
  </si>
  <si>
    <t>AS Sheep Lithuania</t>
  </si>
  <si>
    <t>AS Rabbit Lithuania</t>
  </si>
  <si>
    <t>AS Swine Lithuania</t>
  </si>
  <si>
    <t>AS Goats Lithuania</t>
  </si>
  <si>
    <t>AS Horses Lithuania</t>
  </si>
  <si>
    <t>AS Poultry Lithuania</t>
  </si>
  <si>
    <t>AS Dairy Cattle Lithuania</t>
  </si>
  <si>
    <t>https://environment.govt.nz/assets/publications/Measuring-Emissions-Guidance_DetailedGuide_2023_ME1764.pdf</t>
  </si>
  <si>
    <t>National-specific data from "Sectoral Report for Agriculture"</t>
  </si>
  <si>
    <t>AIB 2022</t>
  </si>
  <si>
    <t>AIB 2021</t>
  </si>
  <si>
    <t>AIB 2020</t>
  </si>
  <si>
    <t>DEFRa methodology sheet</t>
  </si>
  <si>
    <t>Due to lack of data available, value taken from the previous year. Only CO2 data available.</t>
  </si>
  <si>
    <t>Latvian Ministry of Climate. Only CO2 data available.</t>
  </si>
  <si>
    <t>Insert company's name</t>
  </si>
  <si>
    <t>Summary of</t>
  </si>
  <si>
    <t>scope 1 &amp; 2 emissions in year</t>
  </si>
  <si>
    <r>
      <t xml:space="preserve">Please indicate all sources of purchased or externally supplied electricity and the annual consumption of this energy in the relevant unit. In most cases, consumption is the sum of purchase and production. 
Please be aware that the calculator only covers countries from the Baltics. First column will automatically fill in as selected country of operation. </t>
    </r>
    <r>
      <rPr>
        <b/>
        <sz val="10"/>
        <color theme="1"/>
        <rFont val="Calibri"/>
        <family val="2"/>
        <scheme val="minor"/>
      </rPr>
      <t>If you do not have an energy purchase value, please provide the cost.</t>
    </r>
  </si>
  <si>
    <t>Choose country:</t>
  </si>
  <si>
    <t>Emission category</t>
  </si>
  <si>
    <t>English for VLOOKUP</t>
  </si>
  <si>
    <t>Lithuanian for VLOOKUP</t>
  </si>
  <si>
    <t>Latvian for VLOOKUP</t>
  </si>
  <si>
    <t>Estonian for VLOOKUP</t>
  </si>
  <si>
    <t>CO2e</t>
  </si>
  <si>
    <t>Electricity - Estonia (kWh)2020</t>
  </si>
  <si>
    <t>Electricity - Estija (kWh)2020</t>
  </si>
  <si>
    <t>Electricity - Igaunija (kWh)2020</t>
  </si>
  <si>
    <t>Electricity - Eesti (kWh)2020</t>
  </si>
  <si>
    <t>Electricity - Estonia (MWh)2020</t>
  </si>
  <si>
    <t>Electricity - Estija (MWh)2020</t>
  </si>
  <si>
    <t>Electricity - Igaunija (MWh)2020</t>
  </si>
  <si>
    <t>Electricity - Eesti (MWh)2020</t>
  </si>
  <si>
    <t>Electricity - Estonia (GWh)2020</t>
  </si>
  <si>
    <t>Electricity - Estija (GWh)2020</t>
  </si>
  <si>
    <t>Electricity - Igaunija (GWh)2020</t>
  </si>
  <si>
    <t>Electricity - Eesti (GWh)2020</t>
  </si>
  <si>
    <t>Electricity - Estonia (GJ)2020</t>
  </si>
  <si>
    <t>Electricity - Estija (GJ)2020</t>
  </si>
  <si>
    <t>Electricity - Igaunija (GJ)2020</t>
  </si>
  <si>
    <t>Electricity - Eesti (GJ)2020</t>
  </si>
  <si>
    <t>Electricity - Lithuania (kWh)2020</t>
  </si>
  <si>
    <t>Electricity - Lietuva (kWh)2020</t>
  </si>
  <si>
    <t>Electricity - Leedu (kWh)2020</t>
  </si>
  <si>
    <t>Electricity - Lithuania (MWh)2020</t>
  </si>
  <si>
    <t>Electricity - Lietuva (MWh)2020</t>
  </si>
  <si>
    <t>Electricity - Leedu (MWh)2020</t>
  </si>
  <si>
    <t>Electricity - Lithuania (GWh)2020</t>
  </si>
  <si>
    <t>Electricity - Lietuva (GWh)2020</t>
  </si>
  <si>
    <t>Electricity - Leedu (GWh)2020</t>
  </si>
  <si>
    <t>Electricity - Lithuania (GJ)2020</t>
  </si>
  <si>
    <t>Electricity - Lietuva (GJ)2020</t>
  </si>
  <si>
    <t>Electricity - Leedu (GJ)2020</t>
  </si>
  <si>
    <t>Electricity - Latvia (kWh)2020</t>
  </si>
  <si>
    <t>Electricity - Latvija (kWh)2020</t>
  </si>
  <si>
    <t>Electricity - Läti (kWh)2020</t>
  </si>
  <si>
    <t>Electricity - Latvia (MWh)2020</t>
  </si>
  <si>
    <t>Electricity - Latvija (MWh)2020</t>
  </si>
  <si>
    <t>Electricity - Läti (MWh)2020</t>
  </si>
  <si>
    <t>Electricity - Latvia (GWh)2020</t>
  </si>
  <si>
    <t>Electricity - Latvija (GWh)2020</t>
  </si>
  <si>
    <t>Electricity - Läti (GWh)2020</t>
  </si>
  <si>
    <t>Electricity - Latvia (GJ)2020</t>
  </si>
  <si>
    <t>Electricity - Latvija (GJ)2020</t>
  </si>
  <si>
    <t>Electricity - Läti (GJ)2020</t>
  </si>
  <si>
    <t>Electricity - Estonia (kWh)2021</t>
  </si>
  <si>
    <t>Electricity - Estija (kWh)2021</t>
  </si>
  <si>
    <t>Electricity - Igaunija (kWh)2021</t>
  </si>
  <si>
    <t>Electricity - Eesti (kWh)2021</t>
  </si>
  <si>
    <t>Electricity - Estonia (MWh)2021</t>
  </si>
  <si>
    <t>Electricity - Estija (MWh)2021</t>
  </si>
  <si>
    <t>Electricity - Igaunija (MWh)2021</t>
  </si>
  <si>
    <t>Electricity - Eesti (MWh)2021</t>
  </si>
  <si>
    <t>Electricity - Estonia (GWh)2021</t>
  </si>
  <si>
    <t>Electricity - Estija (GWh)2021</t>
  </si>
  <si>
    <t>Electricity - Igaunija (GWh)2021</t>
  </si>
  <si>
    <t>Electricity - Eesti (GWh)2021</t>
  </si>
  <si>
    <t>Electricity - Estonia (GJ)2021</t>
  </si>
  <si>
    <t>Electricity - Estija (GJ)2021</t>
  </si>
  <si>
    <t>Electricity - Igaunija (GJ)2021</t>
  </si>
  <si>
    <t>Electricity - Eesti (GJ)2021</t>
  </si>
  <si>
    <t>Electricity - Lithuania (kWh)2021</t>
  </si>
  <si>
    <t>Electricity - Lietuva (kWh)2021</t>
  </si>
  <si>
    <t>Electricity - Leedu (kWh)2021</t>
  </si>
  <si>
    <t>Electricity - Lithuania (MWh)2021</t>
  </si>
  <si>
    <t>Electricity - Lietuva (MWh)2021</t>
  </si>
  <si>
    <t>Electricity - Leedu (MWh)2021</t>
  </si>
  <si>
    <t>Electricity - Lithuania (GWh)2021</t>
  </si>
  <si>
    <t>Electricity - Lietuva (GWh)2021</t>
  </si>
  <si>
    <t>Electricity - Leedu (GWh)2021</t>
  </si>
  <si>
    <t>Electricity - Lithuania (GJ)2021</t>
  </si>
  <si>
    <t>Electricity - Lietuva (GJ)2021</t>
  </si>
  <si>
    <t>Electricity - Leedu (GJ)2021</t>
  </si>
  <si>
    <t>Electricity - Latvia (kWh)2021</t>
  </si>
  <si>
    <t>Electricity - Latvija (kWh)2021</t>
  </si>
  <si>
    <t>Electricity - Läti (kWh)2021</t>
  </si>
  <si>
    <t>Electricity - Latvia (MWh)2021</t>
  </si>
  <si>
    <t>Electricity - Latvija (MWh)2021</t>
  </si>
  <si>
    <t>Electricity - Läti (MWh)2021</t>
  </si>
  <si>
    <t>Electricity - Latvia (GWh)2021</t>
  </si>
  <si>
    <t>Electricity - Latvija (GWh)2021</t>
  </si>
  <si>
    <t>Electricity - Läti (GWh)2021</t>
  </si>
  <si>
    <t>Electricity - Latvia (GJ)2021</t>
  </si>
  <si>
    <t>Electricity - Latvija (GJ)2021</t>
  </si>
  <si>
    <t>Electricity - Läti (GJ)2021</t>
  </si>
  <si>
    <t>Electricity - Latvia (kWh)2022</t>
  </si>
  <si>
    <t>Electricity - Latvija (kWh)2022</t>
  </si>
  <si>
    <t>Electricity - Läti (kWh)2022</t>
  </si>
  <si>
    <t>Electricity - Latvia (MWh)2022</t>
  </si>
  <si>
    <t>Electricity - Latvija (MWh)2022</t>
  </si>
  <si>
    <t>Electricity - Läti (MWh)2022</t>
  </si>
  <si>
    <t>Electricity - Latvia (GWh)2022</t>
  </si>
  <si>
    <t>Electricity - Latvija (GWh)2022</t>
  </si>
  <si>
    <t>Electricity - Läti (GWh)2022</t>
  </si>
  <si>
    <t>Electricity - Latvia (GJ)2022</t>
  </si>
  <si>
    <t>Electricity - Latvija (GJ)2022</t>
  </si>
  <si>
    <t>Electricity - Läti (GJ)2022</t>
  </si>
  <si>
    <t>Electricity - Estonia (kWh)2022</t>
  </si>
  <si>
    <t>Electricity - Estija (kWh)2022</t>
  </si>
  <si>
    <t>Electricity - Igaunija (kWh)2022</t>
  </si>
  <si>
    <t>Electricity - Eesti (kWh)2022</t>
  </si>
  <si>
    <t>Electricity - Estonia (MWh)2022</t>
  </si>
  <si>
    <t>Electricity - Estija (MWh)2022</t>
  </si>
  <si>
    <t>Electricity - Igaunija (MWh)2022</t>
  </si>
  <si>
    <t>Electricity - Eesti (MWh)2022</t>
  </si>
  <si>
    <t>Electricity - Estonia (GWh)2022</t>
  </si>
  <si>
    <t>Electricity - Estija (GWh)2022</t>
  </si>
  <si>
    <t>Electricity - Igaunija (GWh)2022</t>
  </si>
  <si>
    <t>Electricity - Eesti (GWh)2022</t>
  </si>
  <si>
    <t>Electricity - Estonia (GJ)2022</t>
  </si>
  <si>
    <t>Electricity - Estija (GJ)2022</t>
  </si>
  <si>
    <t>Electricity - Igaunija (GJ)2022</t>
  </si>
  <si>
    <t>Electricity - Eesti (GJ)2022</t>
  </si>
  <si>
    <t>Electricity - Lithuania (kWh)2022</t>
  </si>
  <si>
    <t>Electricity - Lietuva (kWh)2022</t>
  </si>
  <si>
    <t>Electricity - Leedu (kWh)2022</t>
  </si>
  <si>
    <t>Electricity - Lithuania (MWh)2022</t>
  </si>
  <si>
    <t>Electricity - Lietuva (MWh)2022</t>
  </si>
  <si>
    <t>Electricity - Leedu (MWh)2022</t>
  </si>
  <si>
    <t>Electricity - Lithuania (GWh)2022</t>
  </si>
  <si>
    <t>Electricity - Lietuva (GWh)2022</t>
  </si>
  <si>
    <t>Electricity - Leedu (GWh)2022</t>
  </si>
  <si>
    <t>Electricity - Lithuania (GJ)2022</t>
  </si>
  <si>
    <t>Electricity - Lietuva (GJ)2022</t>
  </si>
  <si>
    <t>Electricity - Leedu (GJ)2022</t>
  </si>
  <si>
    <t>Electricity - Latvia (kWh)2023</t>
  </si>
  <si>
    <t>Electricity - Latvija (kWh)2023</t>
  </si>
  <si>
    <t>Electricity - Läti (kWh)2023</t>
  </si>
  <si>
    <t>Electricity - Latvia (MWh)2023</t>
  </si>
  <si>
    <t>Electricity - Latvija (MWh)2023</t>
  </si>
  <si>
    <t>Electricity - Läti (MWh)2023</t>
  </si>
  <si>
    <t>Electricity - Latvia (GWh)2023</t>
  </si>
  <si>
    <t>Electricity - Latvija (GWh)2023</t>
  </si>
  <si>
    <t>Electricity - Läti (GWh)2023</t>
  </si>
  <si>
    <t>Electricity - Latvia (GJ)2023</t>
  </si>
  <si>
    <t>Electricity - Latvija (GJ)2023</t>
  </si>
  <si>
    <t>Electricity - Läti (GJ)2023</t>
  </si>
  <si>
    <t>Electricity - Estonia (kWh)2023</t>
  </si>
  <si>
    <t>Electricity - Estija (kWh)2023</t>
  </si>
  <si>
    <t>Electricity - Igaunija (kWh)2023</t>
  </si>
  <si>
    <t>Electricity - Eesti (kWh)2023</t>
  </si>
  <si>
    <t>Electricity - Estonia (MWh)2023</t>
  </si>
  <si>
    <t>Electricity - Estija (MWh)2023</t>
  </si>
  <si>
    <t>Electricity - Igaunija (MWh)2023</t>
  </si>
  <si>
    <t>Electricity - Eesti (MWh)2023</t>
  </si>
  <si>
    <t>Electricity - Estonia (GWh)2023</t>
  </si>
  <si>
    <t>Electricity - Estija (GWh)2023</t>
  </si>
  <si>
    <t>Electricity - Igaunija (GWh)2023</t>
  </si>
  <si>
    <t>Electricity - Eesti (GWh)2023</t>
  </si>
  <si>
    <t>Electricity - Estonia (GJ)2023</t>
  </si>
  <si>
    <t>Electricity - Estija (GJ)2023</t>
  </si>
  <si>
    <t>Electricity - Igaunija (GJ)2023</t>
  </si>
  <si>
    <t>Electricity - Eesti (GJ)2023</t>
  </si>
  <si>
    <t>Electricity - Lithuania (kWh)2023</t>
  </si>
  <si>
    <t>Electricity - Lietuva (kWh)2023</t>
  </si>
  <si>
    <t>Electricity - Leedu (kWh)2023</t>
  </si>
  <si>
    <t>Electricity - Lithuania (MWh)2023</t>
  </si>
  <si>
    <t>Electricity - Lietuva (MWh)2023</t>
  </si>
  <si>
    <t>Electricity - Leedu (MWh)2023</t>
  </si>
  <si>
    <t>Electricity - Lithuania (GWh)2023</t>
  </si>
  <si>
    <t>Electricity - Lietuva (GWh)2023</t>
  </si>
  <si>
    <t>Electricity - Leedu (GWh)2023</t>
  </si>
  <si>
    <t>Electricity - Lithuania (GJ)2023</t>
  </si>
  <si>
    <t>Electricity - Lietuva (GJ)2023</t>
  </si>
  <si>
    <t>Electricity - Leedu (GJ)2023</t>
  </si>
  <si>
    <t>Spend-based</t>
  </si>
  <si>
    <t>Estonia - Distribution and trade of electricity</t>
  </si>
  <si>
    <t>Estija - Distribution and trade of electricity</t>
  </si>
  <si>
    <t>Igaunija - Distribution and trade of electricity</t>
  </si>
  <si>
    <t>Eesti - Distribution and trade of electricity</t>
  </si>
  <si>
    <t>ExioBase2022</t>
  </si>
  <si>
    <t>Estonia - Other land transport</t>
  </si>
  <si>
    <t>Estija - Other land transport</t>
  </si>
  <si>
    <t>Igaunija - Other land transport</t>
  </si>
  <si>
    <t>Eesti - Other land transport</t>
  </si>
  <si>
    <t>Lithuania - Distribution and trade of electricity</t>
  </si>
  <si>
    <t>Lietuva - Distribution and trade of electricity</t>
  </si>
  <si>
    <t>Leedu - Distribution and trade of electricity</t>
  </si>
  <si>
    <t>Lithuania - Other land transport</t>
  </si>
  <si>
    <t>Lietuva - Other land transport</t>
  </si>
  <si>
    <t>Leedu - Other land transport</t>
  </si>
  <si>
    <t>Latvia - Distribution and trade of electricity</t>
  </si>
  <si>
    <t>Latvija - Distribution and trade of electricity</t>
  </si>
  <si>
    <t>Läti - Distribution and trade of electricity</t>
  </si>
  <si>
    <t>Latvia - Other land transport</t>
  </si>
  <si>
    <t>Latvija - Other land transport</t>
  </si>
  <si>
    <t>Läti - Other land transport</t>
  </si>
  <si>
    <t>District Heating</t>
  </si>
  <si>
    <t>District Cooling</t>
  </si>
  <si>
    <t>EF Dairy cattle Estija</t>
  </si>
  <si>
    <t>EF Dairy cattle Igaunija</t>
  </si>
  <si>
    <t>EF Dairy cattle Eesti</t>
  </si>
  <si>
    <t>EF Non-dairy cattle Estija</t>
  </si>
  <si>
    <t>EF Non-dairy cattle Igaunija</t>
  </si>
  <si>
    <t>EF Non-dairy cattle Eesti</t>
  </si>
  <si>
    <t>EF Sheep Estija</t>
  </si>
  <si>
    <t>EF Sheep Igaunija</t>
  </si>
  <si>
    <t>EF Sheep Eesti</t>
  </si>
  <si>
    <t>EF Swine Estija</t>
  </si>
  <si>
    <t>EF Swine Igaunija</t>
  </si>
  <si>
    <t>EF Swine Eesti</t>
  </si>
  <si>
    <t>EF Goats Estija</t>
  </si>
  <si>
    <t>EF Goats Igaunija</t>
  </si>
  <si>
    <t>EF Goats Eesti</t>
  </si>
  <si>
    <t>EF Horses Estija</t>
  </si>
  <si>
    <t>EF Horses Igaunija</t>
  </si>
  <si>
    <t>EF Horses Eesti</t>
  </si>
  <si>
    <t>EF Poultry Estija</t>
  </si>
  <si>
    <t>EF Poultry Igaunija</t>
  </si>
  <si>
    <t>EF Poultry Eesti</t>
  </si>
  <si>
    <t>EF Rabbit Estija</t>
  </si>
  <si>
    <t>EF Rabbit Igaunija</t>
  </si>
  <si>
    <t>EF Rabbit Eesti</t>
  </si>
  <si>
    <t>MM Dairy cattle Estija</t>
  </si>
  <si>
    <t>MM Dairy cattle Igaunija</t>
  </si>
  <si>
    <t>MM Dairy cattle Eesti</t>
  </si>
  <si>
    <t>MM Non-dairy cattle Estija</t>
  </si>
  <si>
    <t>MM Non-dairy cattle Igaunija</t>
  </si>
  <si>
    <t>MM Non-dairy cattle Eesti</t>
  </si>
  <si>
    <t>MM Sheep Estija</t>
  </si>
  <si>
    <t>MM Sheep Igaunija</t>
  </si>
  <si>
    <t>MM Sheep Eesti</t>
  </si>
  <si>
    <t>MM Swine Estija</t>
  </si>
  <si>
    <t>MM Swine Igaunija</t>
  </si>
  <si>
    <t>MM Swine Eesti</t>
  </si>
  <si>
    <t>MM Goats Estija</t>
  </si>
  <si>
    <t>MM Goats Igaunija</t>
  </si>
  <si>
    <t>MM Goats Eesti</t>
  </si>
  <si>
    <t>MM Horses Estija</t>
  </si>
  <si>
    <t>MM Horses Igaunija</t>
  </si>
  <si>
    <t>MM Horses Eesti</t>
  </si>
  <si>
    <t>MM Poultry Estija</t>
  </si>
  <si>
    <t>MM Poultry Igaunija</t>
  </si>
  <si>
    <t>MM Poultry Eesti</t>
  </si>
  <si>
    <t>MM Rabbit Estija</t>
  </si>
  <si>
    <t>MM Rabbit Igaunija</t>
  </si>
  <si>
    <t>MM Rabbit Eesti</t>
  </si>
  <si>
    <t>Non-urea nitrogen Estija</t>
  </si>
  <si>
    <t>Non-urea nitrogen Igaunija</t>
  </si>
  <si>
    <t>Non-urea nitrogen Eesti</t>
  </si>
  <si>
    <t>Urea nitrogen not coated with urease inhibitor Estija</t>
  </si>
  <si>
    <t>Urea nitrogen not coated with urease inhibitor Igaunija</t>
  </si>
  <si>
    <t>Urea nitrogen not coated with urease inhibitor Eesti</t>
  </si>
  <si>
    <t>Urea nitrogen coated with urease inhibitor Estija</t>
  </si>
  <si>
    <t>Urea nitrogen coated with urease inhibitor Igaunija</t>
  </si>
  <si>
    <t>Urea nitrogen coated with urease inhibitor Eesti</t>
  </si>
  <si>
    <t>EF Dairy cattle Lietuva</t>
  </si>
  <si>
    <t>EF Dairy cattle Leedu</t>
  </si>
  <si>
    <t>EF Non-dairy cattle Lietuva</t>
  </si>
  <si>
    <t>EF Non-dairy cattle Leedu</t>
  </si>
  <si>
    <t>EF Sheep Lietuva</t>
  </si>
  <si>
    <t>EF Sheep Leedu</t>
  </si>
  <si>
    <t>EF Swine Lietuva</t>
  </si>
  <si>
    <t>EF Swine Leedu</t>
  </si>
  <si>
    <t>EF Goats Lietuva</t>
  </si>
  <si>
    <t>EF Goats Leedu</t>
  </si>
  <si>
    <t>EF Horses Lietuva</t>
  </si>
  <si>
    <t>EF Horses Leedu</t>
  </si>
  <si>
    <t>EF Poultry Lietuva</t>
  </si>
  <si>
    <t>EF Poultry Leedu</t>
  </si>
  <si>
    <t>EF Rabbit Lietuva</t>
  </si>
  <si>
    <t>EF Rabbit Leedu</t>
  </si>
  <si>
    <t>MM Dairy cattle Lietuva</t>
  </si>
  <si>
    <t>MM Dairy cattle Leedu</t>
  </si>
  <si>
    <t>MM Non-dairy cattle Lietuva</t>
  </si>
  <si>
    <t>MM Non-dairy cattle Leedu</t>
  </si>
  <si>
    <t>MM Sheep Lietuva</t>
  </si>
  <si>
    <t>MM Sheep Leedu</t>
  </si>
  <si>
    <t>MM Swine Lietuva</t>
  </si>
  <si>
    <t>MM Swine Leedu</t>
  </si>
  <si>
    <t>MM Goats Lietuva</t>
  </si>
  <si>
    <t>MM Goats Leedu</t>
  </si>
  <si>
    <t>MM Horses Lietuva</t>
  </si>
  <si>
    <t>MM Horses Leedu</t>
  </si>
  <si>
    <t>MM Poultry Lietuva</t>
  </si>
  <si>
    <t>MM Poultry Leedu</t>
  </si>
  <si>
    <t>MM Rabbit Lietuva</t>
  </si>
  <si>
    <t>MM Rabbit Leedu</t>
  </si>
  <si>
    <t>Non-urea nitrogen Lietuva</t>
  </si>
  <si>
    <t>Non-urea nitrogen Leedu</t>
  </si>
  <si>
    <t>Urea nitrogen not coated with urease inhibitor Lietuva</t>
  </si>
  <si>
    <t>Urea nitrogen not coated with urease inhibitor Leedu</t>
  </si>
  <si>
    <t>Urea nitrogen coated with urease inhibitor Lietuva</t>
  </si>
  <si>
    <t>Urea nitrogen coated with urease inhibitor Leedu</t>
  </si>
  <si>
    <t>EF Dairy cattle Latvija</t>
  </si>
  <si>
    <t>EF Dairy cattle Läti</t>
  </si>
  <si>
    <t>EF Non-dairy cattle Latvija</t>
  </si>
  <si>
    <t>EF Non-dairy cattle Läti</t>
  </si>
  <si>
    <t>EF Sheep Latvija</t>
  </si>
  <si>
    <t>EF Sheep Läti</t>
  </si>
  <si>
    <t>EF Swine Latvija</t>
  </si>
  <si>
    <t>EF Swine Läti</t>
  </si>
  <si>
    <t>EF Goats Latvija</t>
  </si>
  <si>
    <t>EF Goats Läti</t>
  </si>
  <si>
    <t>EF Horses Latvija</t>
  </si>
  <si>
    <t>EF Horses Läti</t>
  </si>
  <si>
    <t>EF Poultry Latvija</t>
  </si>
  <si>
    <t>EF Poultry Läti</t>
  </si>
  <si>
    <t>EF Rabbit Latvija</t>
  </si>
  <si>
    <t>EF Rabbit Läti</t>
  </si>
  <si>
    <t>MM Dairy cattle Latvija</t>
  </si>
  <si>
    <t>MM Dairy cattle Läti</t>
  </si>
  <si>
    <t>MM Non-dairy cattle Latvija</t>
  </si>
  <si>
    <t>MM Non-dairy cattle Läti</t>
  </si>
  <si>
    <t>MM Sheep Latvija</t>
  </si>
  <si>
    <t>MM Sheep Läti</t>
  </si>
  <si>
    <t>MM Swine Latvija</t>
  </si>
  <si>
    <t>MM Swine Läti</t>
  </si>
  <si>
    <t>MM Goats Latvija</t>
  </si>
  <si>
    <t>MM Goats Läti</t>
  </si>
  <si>
    <t>MM Horses Latvija</t>
  </si>
  <si>
    <t>MM Horses Läti</t>
  </si>
  <si>
    <t>MM Poultry Latvija</t>
  </si>
  <si>
    <t>MM Poultry Läti</t>
  </si>
  <si>
    <t>MM Rabbit Latvija</t>
  </si>
  <si>
    <t>MM Rabbit Läti</t>
  </si>
  <si>
    <t>AS Dairy Cattle Estija</t>
  </si>
  <si>
    <t>AS Dairy Cattle Igaunija</t>
  </si>
  <si>
    <t>AS Dairy Cattle Eesti</t>
  </si>
  <si>
    <t>AS Non-diary cattle Estija</t>
  </si>
  <si>
    <t>AS Non-diary cattle Igaunija</t>
  </si>
  <si>
    <t>AS Non-diary cattle Eesti</t>
  </si>
  <si>
    <t>AS Sheep Estija</t>
  </si>
  <si>
    <t>AS Sheep Igaunija</t>
  </si>
  <si>
    <t>AS Sheep Eesti</t>
  </si>
  <si>
    <t>AS Rabbit Estija</t>
  </si>
  <si>
    <t>AS Rabbit Igaunija</t>
  </si>
  <si>
    <t>AS Rabbit Eesti</t>
  </si>
  <si>
    <t>AS Swine Estija</t>
  </si>
  <si>
    <t>AS Swine Igaunija</t>
  </si>
  <si>
    <t>AS Swine Eesti</t>
  </si>
  <si>
    <t>AS Goats Estija</t>
  </si>
  <si>
    <t>AS Goats Igaunija</t>
  </si>
  <si>
    <t>AS Goats Eesti</t>
  </si>
  <si>
    <t>AS Horses Estija</t>
  </si>
  <si>
    <t>AS Horses Igaunija</t>
  </si>
  <si>
    <t>AS Horses Eesti</t>
  </si>
  <si>
    <t>AS Poultry Estija</t>
  </si>
  <si>
    <t>AS Poultry Igaunija</t>
  </si>
  <si>
    <t>AS Poultry Eesti</t>
  </si>
  <si>
    <t>AS Dairy Cattle Latvija</t>
  </si>
  <si>
    <t>AS Dairy Cattle Läti</t>
  </si>
  <si>
    <t>AS Non-diary cattle Latvija</t>
  </si>
  <si>
    <t>AS Non-diary cattle Läti</t>
  </si>
  <si>
    <t>AS Sheep Latvija</t>
  </si>
  <si>
    <t>AS Sheep Läti</t>
  </si>
  <si>
    <t>AS Rabbit Latvija</t>
  </si>
  <si>
    <t>AS Rabbit Läti</t>
  </si>
  <si>
    <t>AS Swine Latvija</t>
  </si>
  <si>
    <t>AS Swine Läti</t>
  </si>
  <si>
    <t>AS Goats Latvija</t>
  </si>
  <si>
    <t>AS Goats Läti</t>
  </si>
  <si>
    <t>AS Horses Latvija</t>
  </si>
  <si>
    <t>AS Horses Läti</t>
  </si>
  <si>
    <t>AS Poultry Latvija</t>
  </si>
  <si>
    <t>AS Poultry Läti</t>
  </si>
  <si>
    <t>AS Dairy Cattle Lietuva</t>
  </si>
  <si>
    <t>AS Dairy Cattle Leedu</t>
  </si>
  <si>
    <t>AS Non-diary cattle Lietuva</t>
  </si>
  <si>
    <t>AS Non-diary cattle Leedu</t>
  </si>
  <si>
    <t>AS Sheep Lietuva</t>
  </si>
  <si>
    <t>AS Sheep Leedu</t>
  </si>
  <si>
    <t>AS Rabbit Lietuva</t>
  </si>
  <si>
    <t>AS Rabbit Leedu</t>
  </si>
  <si>
    <t>AS Swine Lietuva</t>
  </si>
  <si>
    <t>AS Swine Leedu</t>
  </si>
  <si>
    <t>AS Goats Lietuva</t>
  </si>
  <si>
    <t>AS Goats Leedu</t>
  </si>
  <si>
    <t>AS Horses Lietuva</t>
  </si>
  <si>
    <t>AS Horses Leedu</t>
  </si>
  <si>
    <t>AS Poultry Lietuva</t>
  </si>
  <si>
    <t>AS Poultry Leedu</t>
  </si>
  <si>
    <t>Non-urea nitrogen Latvija</t>
  </si>
  <si>
    <t>Non-urea nitrogen Läti</t>
  </si>
  <si>
    <t>Urea nitrogen not coated with urease inhibitor Latvija</t>
  </si>
  <si>
    <t>Urea nitrogen not coated with urease inhibitor Läti</t>
  </si>
  <si>
    <t>Urea nitrogen coated with urease inhibitor Latvija</t>
  </si>
  <si>
    <t>Urea nitrogen coated with urease inhibitor Läti</t>
  </si>
  <si>
    <t>CALCULATIONS</t>
  </si>
  <si>
    <t>Actual</t>
  </si>
  <si>
    <t>Estimated</t>
  </si>
  <si>
    <t>Actual %</t>
  </si>
  <si>
    <t>Energy benchmark
(kWh / mkw)</t>
  </si>
  <si>
    <t>Biomass - grass/straw kWh</t>
  </si>
  <si>
    <t>Biomass - grass/straw MWh</t>
  </si>
  <si>
    <t>Biomass - grass/straw Tonnes</t>
  </si>
  <si>
    <t>Biomass - wood chips kWh</t>
  </si>
  <si>
    <t>Biomass - wood chips MWh</t>
  </si>
  <si>
    <t>Biomass - wood chips Tonnes</t>
  </si>
  <si>
    <t>Biomass - wood logs kWh</t>
  </si>
  <si>
    <t>Biomass - wood logs MWh</t>
  </si>
  <si>
    <t>Biomass - wood logs Tonnes</t>
  </si>
  <si>
    <t>Biomass - wood pellets kWh</t>
  </si>
  <si>
    <t>Biomass - wood pellets MWh</t>
  </si>
  <si>
    <t>Biomass - wood pellets Tonnes</t>
  </si>
  <si>
    <t>Burning Oil Litres</t>
  </si>
  <si>
    <t>Burning Oil MWh</t>
  </si>
  <si>
    <t>CNG kWh</t>
  </si>
  <si>
    <t>CNG Litres</t>
  </si>
  <si>
    <t>CNG MWh</t>
  </si>
  <si>
    <t>CNG Tonnes</t>
  </si>
  <si>
    <t>Coal kWh</t>
  </si>
  <si>
    <t>Coal Tonnes</t>
  </si>
  <si>
    <t>Diesel GWh</t>
  </si>
  <si>
    <t>Diesel kWh</t>
  </si>
  <si>
    <t>Diesel Litres</t>
  </si>
  <si>
    <t>Diesel MWh</t>
  </si>
  <si>
    <t>District Heating GJ</t>
  </si>
  <si>
    <t>District Heating kWh</t>
  </si>
  <si>
    <t>District Heating MWh</t>
  </si>
  <si>
    <t>LNG kWh</t>
  </si>
  <si>
    <t>LNG Litres</t>
  </si>
  <si>
    <t>LNG MWh</t>
  </si>
  <si>
    <t>LNG Tonnes</t>
  </si>
  <si>
    <t>LPG kWh</t>
  </si>
  <si>
    <t>LPG Litres</t>
  </si>
  <si>
    <t>LPG MWh</t>
  </si>
  <si>
    <t>LPG Tonnes</t>
  </si>
  <si>
    <t>Natural Gas GJ</t>
  </si>
  <si>
    <t>Natural Gas GWh</t>
  </si>
  <si>
    <t>Natural Gas kWh</t>
  </si>
  <si>
    <t>Natural Gas m3</t>
  </si>
  <si>
    <t>Natural Gas MWh</t>
  </si>
  <si>
    <t>Petrol Litres</t>
  </si>
  <si>
    <t>Hybrid cars Litres</t>
  </si>
  <si>
    <t>Hybrid cars kWh</t>
  </si>
  <si>
    <t>Hybrid cars MWh</t>
  </si>
  <si>
    <t>Propane GWh</t>
  </si>
  <si>
    <t>Propane kWh</t>
  </si>
  <si>
    <t>Propane Litres</t>
  </si>
  <si>
    <t>Propane MWh</t>
  </si>
  <si>
    <t>Propane Tonnes</t>
  </si>
  <si>
    <t>Burning Oil kWh</t>
  </si>
  <si>
    <t>Estija MWh 2020 District Heating</t>
  </si>
  <si>
    <t>Estija MWh 2021 District Heating</t>
  </si>
  <si>
    <t>Estija MWh 2022 District Heating</t>
  </si>
  <si>
    <t>Estija MWh 2023 District Heating</t>
  </si>
  <si>
    <t>Latvija MWh 2020 District Heating</t>
  </si>
  <si>
    <t>Latvija MWh 2021 District Heating</t>
  </si>
  <si>
    <t>Latvija MWh 2022 District Heating</t>
  </si>
  <si>
    <t>Latvija MWh 2023 District Heating</t>
  </si>
  <si>
    <t>Lietuva MWh 2020 District Heating</t>
  </si>
  <si>
    <t>Lietuva MWh 2021 District Heating</t>
  </si>
  <si>
    <t>Lietuva MWh 2022 District Heating</t>
  </si>
  <si>
    <t>Lietuva MWh 2023 District Heating</t>
  </si>
  <si>
    <t>Estija MWh 2020 District Cooling</t>
  </si>
  <si>
    <t>Estija MWh 2021 District Cooling</t>
  </si>
  <si>
    <t>Estija MWh 2022 District Cooling</t>
  </si>
  <si>
    <t>Estija MWh 2023 District Cooling</t>
  </si>
  <si>
    <t>Latvija MWh 2020 District Cooling</t>
  </si>
  <si>
    <t>Latvija MWh 2021 District Cooling</t>
  </si>
  <si>
    <t>Latvija MWh 2022 District Cooling</t>
  </si>
  <si>
    <t>Latvija MWh 2023 District Cooling</t>
  </si>
  <si>
    <t>Lietuva MWh 2020 District Cooling</t>
  </si>
  <si>
    <t>Lietuva MWh 2021 District Cooling</t>
  </si>
  <si>
    <t>Lietuva MWh 2022 District Cooling</t>
  </si>
  <si>
    <t>Lietuva MWh 2023 District Cooling</t>
  </si>
  <si>
    <t>Estija MWh 2020 Steam</t>
  </si>
  <si>
    <t>Estija MWh 2021 Steam</t>
  </si>
  <si>
    <t>Estija MWh 2022 Steam</t>
  </si>
  <si>
    <t>Estija MWh 2023 Steam</t>
  </si>
  <si>
    <t>Latvija MWh 2020 Steam</t>
  </si>
  <si>
    <t>Latvija MWh 2021 Steam</t>
  </si>
  <si>
    <t>Latvija MWh 2022 Steam</t>
  </si>
  <si>
    <t>Latvija MWh 2023 Steam</t>
  </si>
  <si>
    <t>Lietuva MWh 2020 Steam</t>
  </si>
  <si>
    <t>Lietuva MWh 2021 Steam</t>
  </si>
  <si>
    <t>Lietuva MWh 2022 Steam</t>
  </si>
  <si>
    <t>Lietuva MWh 2023 Steam</t>
  </si>
  <si>
    <t>Estija kWh 2020 District Heating</t>
  </si>
  <si>
    <t>Estija kWh 2020 District Cooling</t>
  </si>
  <si>
    <t>Estija kWh 2020 Steam</t>
  </si>
  <si>
    <t>Estija GJ 2020 District Heating</t>
  </si>
  <si>
    <t>Estija GJ 2020 District Cooling</t>
  </si>
  <si>
    <t>Estija GJ 2020 Steam</t>
  </si>
  <si>
    <t>Igaunija MWh 2020 District Heating</t>
  </si>
  <si>
    <t>Igaunija MWh 2021 District Heating</t>
  </si>
  <si>
    <t>Igaunija MWh 2022 District Heating</t>
  </si>
  <si>
    <t>Igaunija MWh 2023 District Heating</t>
  </si>
  <si>
    <t>Igaunija MWh 2020 District Cooling</t>
  </si>
  <si>
    <t>Igaunija MWh 2021 District Cooling</t>
  </si>
  <si>
    <t>Igaunija MWh 2022 District Cooling</t>
  </si>
  <si>
    <t>Igaunija MWh 2023 District Cooling</t>
  </si>
  <si>
    <t>Igaunija MWh 2020 Steam</t>
  </si>
  <si>
    <t>Igaunija MWh 2021 Steam</t>
  </si>
  <si>
    <t>Igaunija MWh 2022 Steam</t>
  </si>
  <si>
    <t>Igaunija MWh 2023 Steam</t>
  </si>
  <si>
    <t>Igaunija kWh 2020 District Heating</t>
  </si>
  <si>
    <t>Igaunija kWh 2020 District Cooling</t>
  </si>
  <si>
    <t>Igaunija kWh 2020 Steam</t>
  </si>
  <si>
    <t>Igaunija GJ 2020 District Heating</t>
  </si>
  <si>
    <t>Igaunija GJ 2020 District Cooling</t>
  </si>
  <si>
    <t>Igaunija GJ 2020 Steam</t>
  </si>
  <si>
    <t>Leedu MWh 2020 District Heating</t>
  </si>
  <si>
    <t>Leedu MWh 2021 District Heating</t>
  </si>
  <si>
    <t>Leedu MWh 2022 District Heating</t>
  </si>
  <si>
    <t>Leedu MWh 2023 District Heating</t>
  </si>
  <si>
    <t>Läti MWh 2020 District Heating</t>
  </si>
  <si>
    <t>Läti MWh 2021 District Heating</t>
  </si>
  <si>
    <t>Läti MWh 2022 District Heating</t>
  </si>
  <si>
    <t>Läti MWh 2023 District Heating</t>
  </si>
  <si>
    <t>Leedu MWh 2020 District Cooling</t>
  </si>
  <si>
    <t>Leedu MWh 2021 District Cooling</t>
  </si>
  <si>
    <t>Leedu MWh 2022 District Cooling</t>
  </si>
  <si>
    <t>Leedu MWh 2023 District Cooling</t>
  </si>
  <si>
    <t>Läti MWh 2020 District Cooling</t>
  </si>
  <si>
    <t>Läti MWh 2021 District Cooling</t>
  </si>
  <si>
    <t>Läti MWh 2022 District Cooling</t>
  </si>
  <si>
    <t>Läti MWh 2023 District Cooling</t>
  </si>
  <si>
    <t>Leedu kWh 2020 District Heating</t>
  </si>
  <si>
    <t>Leedu kWh 2020 District Cooling</t>
  </si>
  <si>
    <t>Leedu kWh 2020 Steam</t>
  </si>
  <si>
    <t>Leedu GJ 2020 District Heating</t>
  </si>
  <si>
    <t>Leedu GJ 2020 District Cooling</t>
  </si>
  <si>
    <t>Leedu GJ 2020 Steam</t>
  </si>
  <si>
    <t>Estonia MWh 2020 District Heating</t>
  </si>
  <si>
    <t>Estonia MWh 2021 District Heating</t>
  </si>
  <si>
    <t>Estonia MWh 2022 District Heating</t>
  </si>
  <si>
    <t>Estonia MWh 2023 District Heating</t>
  </si>
  <si>
    <t>Latvia MWh 2020 District Heating</t>
  </si>
  <si>
    <t>Latvia MWh 2021 District Heating</t>
  </si>
  <si>
    <t>Latvia MWh 2022 District Heating</t>
  </si>
  <si>
    <t>Latvia MWh 2023 District Heating</t>
  </si>
  <si>
    <t>Lithuania MWh 2020 District Heating</t>
  </si>
  <si>
    <t>Lithuania MWh 2021 District Heating</t>
  </si>
  <si>
    <t>Lithuania MWh 2022 District Heating</t>
  </si>
  <si>
    <t>Lithuania MWh 2023 District Heating</t>
  </si>
  <si>
    <t>Estonia MWh 2020 District Cooling</t>
  </si>
  <si>
    <t>Estonia MWh 2021 District Cooling</t>
  </si>
  <si>
    <t>Estonia MWh 2022 District Cooling</t>
  </si>
  <si>
    <t>Estonia MWh 2023 District Cooling</t>
  </si>
  <si>
    <t>Latvia MWh 2020 District Cooling</t>
  </si>
  <si>
    <t>Latvia MWh 2021 District Cooling</t>
  </si>
  <si>
    <t>Latvia MWh 2022 District Cooling</t>
  </si>
  <si>
    <t>Latvia MWh 2023 District Cooling</t>
  </si>
  <si>
    <t>Lithuania MWh 2020 District Cooling</t>
  </si>
  <si>
    <t>Lithuania MWh 2021 District Cooling</t>
  </si>
  <si>
    <t>Lithuania MWh 2022 District Cooling</t>
  </si>
  <si>
    <t>Lithuania MWh 2023 District Cooling</t>
  </si>
  <si>
    <t>Estonia MWh 2020 Steam</t>
  </si>
  <si>
    <t>Estonia MWh 2021 Steam</t>
  </si>
  <si>
    <t>Estonia MWh 2022 Steam</t>
  </si>
  <si>
    <t>Estonia MWh 2023 Steam</t>
  </si>
  <si>
    <t>Latvia MWh 2020 Steam</t>
  </si>
  <si>
    <t>Latvia MWh 2021 Steam</t>
  </si>
  <si>
    <t>Latvia MWh 2022 Steam</t>
  </si>
  <si>
    <t>Latvia MWh 2023 Steam</t>
  </si>
  <si>
    <t>Lithuania MWh 2020 Steam</t>
  </si>
  <si>
    <t>Lithuania MWh 2021 Steam</t>
  </si>
  <si>
    <t>Lithuania MWh 2022 Steam</t>
  </si>
  <si>
    <t>Lithuania MWh 2023 Steam</t>
  </si>
  <si>
    <t>Estonia kWh 2020 District Heating</t>
  </si>
  <si>
    <t>Estonia kWh 2020 District Cooling</t>
  </si>
  <si>
    <t>Estonia kWh 2020 Steam</t>
  </si>
  <si>
    <t>Estonia GJ 2020 District Heating</t>
  </si>
  <si>
    <t>Estonia GJ 2020 District Cooling</t>
  </si>
  <si>
    <t>Estonia GJ 2020 Steam</t>
  </si>
  <si>
    <t>Coal MWh</t>
  </si>
  <si>
    <r>
      <t>m</t>
    </r>
    <r>
      <rPr>
        <i/>
        <vertAlign val="superscript"/>
        <sz val="11"/>
        <color theme="1"/>
        <rFont val="Calibri"/>
        <family val="2"/>
        <charset val="238"/>
        <scheme val="minor"/>
      </rPr>
      <t>2</t>
    </r>
  </si>
  <si>
    <t>% actual</t>
  </si>
  <si>
    <t>Petrol kWh</t>
  </si>
  <si>
    <t>Petrol MWh</t>
  </si>
  <si>
    <t>Connection B</t>
  </si>
  <si>
    <t>Connection A</t>
  </si>
  <si>
    <t>Connection C</t>
  </si>
  <si>
    <t>Truck - Diesel</t>
  </si>
  <si>
    <t>Passenger Car</t>
  </si>
  <si>
    <t>Passenger Car - Diesel</t>
  </si>
  <si>
    <t>Passenger Car - CNG</t>
  </si>
  <si>
    <t>Passenger Car - Petrol</t>
  </si>
  <si>
    <t>Passenger cars - unknown</t>
  </si>
  <si>
    <t>Passenger Car - LPG</t>
  </si>
  <si>
    <t>Average Car - Hybrid cars</t>
  </si>
  <si>
    <t>AdBlue kg</t>
  </si>
  <si>
    <t>OTHER PROCESS-RELATED EMISSIONS</t>
  </si>
  <si>
    <t>Biomass CO2 - outside of scopes</t>
  </si>
  <si>
    <t>Factor</t>
  </si>
  <si>
    <t>Consumption</t>
  </si>
  <si>
    <t>Emissions</t>
  </si>
  <si>
    <t>BIOMASS</t>
  </si>
  <si>
    <t>Estija kWh 2021 District Heating</t>
  </si>
  <si>
    <t>Estija kWh 2022 District Heating</t>
  </si>
  <si>
    <t>Estija kWh 2023 District Heating</t>
  </si>
  <si>
    <t>Latvija kWh 2020 District Heating</t>
  </si>
  <si>
    <t>Latvija kWh 2021 District Heating</t>
  </si>
  <si>
    <t>Latvija kWh 2022 District Heating</t>
  </si>
  <si>
    <t>Latvija kWh 2023 District Heating</t>
  </si>
  <si>
    <t>Lietuva kWh 2020 District Heating</t>
  </si>
  <si>
    <t>Lietuva kWh 2021 District Heating</t>
  </si>
  <si>
    <t>Lietuva kWh 2022 District Heating</t>
  </si>
  <si>
    <t>Lietuva kWh 2023 District Heating</t>
  </si>
  <si>
    <t>Igaunija kWh 2021 District Heating</t>
  </si>
  <si>
    <t>Igaunija kWh 2022 District Heating</t>
  </si>
  <si>
    <t>Igaunija kWh 2023 District Heating</t>
  </si>
  <si>
    <t>Leedu kWh 2021 District Heating</t>
  </si>
  <si>
    <t>Leedu kWh 2022 District Heating</t>
  </si>
  <si>
    <t>Leedu kWh 2023 District Heating</t>
  </si>
  <si>
    <t>Läti kWh 2020 District Heating</t>
  </si>
  <si>
    <t>Läti kWh 2021 District Heating</t>
  </si>
  <si>
    <t>Läti kWh 2022 District Heating</t>
  </si>
  <si>
    <t>Läti kWh 2023 District Heating</t>
  </si>
  <si>
    <t>Estonia kWh 2021 District Heating</t>
  </si>
  <si>
    <t>Estonia kWh 2022 District Heating</t>
  </si>
  <si>
    <t>Estonia kWh 2023 District Heating</t>
  </si>
  <si>
    <t>Latvia kWh 2020 District Heating</t>
  </si>
  <si>
    <t>Latvia kWh 2021 District Heating</t>
  </si>
  <si>
    <t>Latvia kWh 2022 District Heating</t>
  </si>
  <si>
    <t>Latvia kWh 2023 District Heating</t>
  </si>
  <si>
    <t>Lithuania kWh 2020 District Heating</t>
  </si>
  <si>
    <t>Lithuania kWh 2021 District Heating</t>
  </si>
  <si>
    <t>Lithuania kWh 2022 District Heating</t>
  </si>
  <si>
    <t>Lithuania kWh 2023 District Heating</t>
  </si>
  <si>
    <t>Estonia GJ 2021 District Heating</t>
  </si>
  <si>
    <t>Estonia GJ 2022 District Heating</t>
  </si>
  <si>
    <t>Estonia GJ 2023 District Heating</t>
  </si>
  <si>
    <t>Latvia GJ 2020 District Heating</t>
  </si>
  <si>
    <t>Latvia GJ 2021 District Heating</t>
  </si>
  <si>
    <t>Latvia GJ 2022 District Heating</t>
  </si>
  <si>
    <t>Latvia GJ 2023 District Heating</t>
  </si>
  <si>
    <t>Lithuania GJ 2020 District Heating</t>
  </si>
  <si>
    <t>Lithuania GJ 2021 District Heating</t>
  </si>
  <si>
    <t>Lithuania GJ 2022 District Heating</t>
  </si>
  <si>
    <t>Lithuania GJ 2023 District Heating</t>
  </si>
  <si>
    <t>Estija GJ 2021 District Heating</t>
  </si>
  <si>
    <t>Estija GJ 2022 District Heating</t>
  </si>
  <si>
    <t>Estija GJ 2023 District Heating</t>
  </si>
  <si>
    <t>Latvija GJ 2020 District Heating</t>
  </si>
  <si>
    <t>Latvija GJ 2021 District Heating</t>
  </si>
  <si>
    <t>Latvija GJ 2022 District Heating</t>
  </si>
  <si>
    <t>Latvija GJ 2023 District Heating</t>
  </si>
  <si>
    <t>Lietuva GJ 2020 District Heating</t>
  </si>
  <si>
    <t>Lietuva GJ 2021 District Heating</t>
  </si>
  <si>
    <t>Lietuva GJ 2022 District Heating</t>
  </si>
  <si>
    <t>Lietuva GJ 2023 District Heating</t>
  </si>
  <si>
    <t>Igaunija GJ 2021 District Heating</t>
  </si>
  <si>
    <t>Igaunija GJ 2022 District Heating</t>
  </si>
  <si>
    <t>Igaunija GJ 2023 District Heating</t>
  </si>
  <si>
    <t>Leedu GJ 2021 District Heating</t>
  </si>
  <si>
    <t>Leedu GJ 2022 District Heating</t>
  </si>
  <si>
    <t>Leedu GJ 2023 District Heating</t>
  </si>
  <si>
    <t>Läti GJ 2020 District Heating</t>
  </si>
  <si>
    <t>Läti GJ 2021 District Heating</t>
  </si>
  <si>
    <t>Läti GJ 2022 District Heating</t>
  </si>
  <si>
    <t>Läti GJ 2023 District Heating</t>
  </si>
  <si>
    <t>Estonia kWh 2021 District Cooling</t>
  </si>
  <si>
    <t>Estonia kWh 2022 District Cooling</t>
  </si>
  <si>
    <t>Estonia kWh 2023 District Cooling</t>
  </si>
  <si>
    <t>Latvia kWh 2020 District Cooling</t>
  </si>
  <si>
    <t>Latvia kWh 2021 District Cooling</t>
  </si>
  <si>
    <t>Latvia kWh 2022 District Cooling</t>
  </si>
  <si>
    <t>Latvia kWh 2023 District Cooling</t>
  </si>
  <si>
    <t>Lithuania kWh 2020 District Cooling</t>
  </si>
  <si>
    <t>Lithuania kWh 2021 District Cooling</t>
  </si>
  <si>
    <t>Lithuania kWh 2022 District Cooling</t>
  </si>
  <si>
    <t>Lithuania kWh 2023 District Cooling</t>
  </si>
  <si>
    <t>Estonia GJ 2021 District Cooling</t>
  </si>
  <si>
    <t>Estonia GJ 2022 District Cooling</t>
  </si>
  <si>
    <t>Estonia GJ 2023 District Cooling</t>
  </si>
  <si>
    <t>Latvia GJ 2020 District Cooling</t>
  </si>
  <si>
    <t>Latvia GJ 2021 District Cooling</t>
  </si>
  <si>
    <t>Latvia GJ 2022 District Cooling</t>
  </si>
  <si>
    <t>Latvia GJ 2023 District Cooling</t>
  </si>
  <si>
    <t>Lithuania GJ 2020 District Cooling</t>
  </si>
  <si>
    <t>Lithuania GJ 2021 District Cooling</t>
  </si>
  <si>
    <t>Lithuania GJ 2022 District Cooling</t>
  </si>
  <si>
    <t>Lithuania GJ 2023 District Cooling</t>
  </si>
  <si>
    <t>Estija kWh 2021 District Cooling</t>
  </si>
  <si>
    <t>Estija kWh 2022 District Cooling</t>
  </si>
  <si>
    <t>Estija kWh 2023 District Cooling</t>
  </si>
  <si>
    <t>Latvija kWh 2020 District Cooling</t>
  </si>
  <si>
    <t>Latvija kWh 2021 District Cooling</t>
  </si>
  <si>
    <t>Latvija kWh 2022 District Cooling</t>
  </si>
  <si>
    <t>Latvija kWh 2023 District Cooling</t>
  </si>
  <si>
    <t>Lietuva kWh 2020 District Cooling</t>
  </si>
  <si>
    <t>Lietuva kWh 2021 District Cooling</t>
  </si>
  <si>
    <t>Lietuva kWh 2022 District Cooling</t>
  </si>
  <si>
    <t>Lietuva kWh 2023 District Cooling</t>
  </si>
  <si>
    <t>Estija GJ 2021 District Cooling</t>
  </si>
  <si>
    <t>Estija GJ 2022 District Cooling</t>
  </si>
  <si>
    <t>Estija GJ 2023 District Cooling</t>
  </si>
  <si>
    <t>Latvija GJ 2020 District Cooling</t>
  </si>
  <si>
    <t>Latvija GJ 2021 District Cooling</t>
  </si>
  <si>
    <t>Latvija GJ 2022 District Cooling</t>
  </si>
  <si>
    <t>Latvija GJ 2023 District Cooling</t>
  </si>
  <si>
    <t>Lietuva GJ 2020 District Cooling</t>
  </si>
  <si>
    <t>Lietuva GJ 2021 District Cooling</t>
  </si>
  <si>
    <t>Lietuva GJ 2022 District Cooling</t>
  </si>
  <si>
    <t>Lietuva GJ 2023 District Cooling</t>
  </si>
  <si>
    <t>Igaunija kWh 2021 District Cooling</t>
  </si>
  <si>
    <t>Igaunija kWh 2022 District Cooling</t>
  </si>
  <si>
    <t>Igaunija kWh 2023 District Cooling</t>
  </si>
  <si>
    <t>Igaunija GJ 2021 District Cooling</t>
  </si>
  <si>
    <t>Igaunija GJ 2022 District Cooling</t>
  </si>
  <si>
    <t>Igaunija GJ 2023 District Cooling</t>
  </si>
  <si>
    <t>Leedu kWh 2021 District Cooling</t>
  </si>
  <si>
    <t>Leedu kWh 2022 District Cooling</t>
  </si>
  <si>
    <t>Leedu kWh 2023 District Cooling</t>
  </si>
  <si>
    <t>Läti kWh 2020 District Cooling</t>
  </si>
  <si>
    <t>Läti kWh 2021 District Cooling</t>
  </si>
  <si>
    <t>Läti kWh 2022 District Cooling</t>
  </si>
  <si>
    <t>Läti kWh 2023 District Cooling</t>
  </si>
  <si>
    <t>Leedu GJ 2021 District Cooling</t>
  </si>
  <si>
    <t>Leedu GJ 2022 District Cooling</t>
  </si>
  <si>
    <t>Leedu GJ 2023 District Cooling</t>
  </si>
  <si>
    <t>Läti GJ 2020 District Cooling</t>
  </si>
  <si>
    <t>Läti GJ 2021 District Cooling</t>
  </si>
  <si>
    <t>Läti GJ 2022 District Cooling</t>
  </si>
  <si>
    <t>Läti GJ 2023 District Cooling</t>
  </si>
  <si>
    <t>Estonia kWh 2021 Steam</t>
  </si>
  <si>
    <t>Estonia kWh 2022 Steam</t>
  </si>
  <si>
    <t>Estonia kWh 2023 Steam</t>
  </si>
  <si>
    <t>Latvia kWh 2020 Steam</t>
  </si>
  <si>
    <t>Latvia kWh 2021 Steam</t>
  </si>
  <si>
    <t>Latvia kWh 2022 Steam</t>
  </si>
  <si>
    <t>Latvia kWh 2023 Steam</t>
  </si>
  <si>
    <t>Lithuania kWh 2020 Steam</t>
  </si>
  <si>
    <t>Lithuania kWh 2021 Steam</t>
  </si>
  <si>
    <t>Lithuania kWh 2022 Steam</t>
  </si>
  <si>
    <t>Lithuania kWh 2023 Steam</t>
  </si>
  <si>
    <t>Estonia GJ 2021 Steam</t>
  </si>
  <si>
    <t>Estonia GJ 2022 Steam</t>
  </si>
  <si>
    <t>Estonia GJ 2023 Steam</t>
  </si>
  <si>
    <t>Latvia GJ 2020 Steam</t>
  </si>
  <si>
    <t>Latvia GJ 2021 Steam</t>
  </si>
  <si>
    <t>Latvia GJ 2022 Steam</t>
  </si>
  <si>
    <t>Latvia GJ 2023 Steam</t>
  </si>
  <si>
    <t>Lithuania GJ 2020 Steam</t>
  </si>
  <si>
    <t>Lithuania GJ 2021 Steam</t>
  </si>
  <si>
    <t>Lithuania GJ 2022 Steam</t>
  </si>
  <si>
    <t>Lithuania GJ 2023 Steam</t>
  </si>
  <si>
    <t>Estija kWh 2021 Steam</t>
  </si>
  <si>
    <t>Estija kWh 2022 Steam</t>
  </si>
  <si>
    <t>Estija kWh 2023 Steam</t>
  </si>
  <si>
    <t>Latvija kWh 2020 Steam</t>
  </si>
  <si>
    <t>Latvija kWh 2021 Steam</t>
  </si>
  <si>
    <t>Latvija kWh 2022 Steam</t>
  </si>
  <si>
    <t>Latvija kWh 2023 Steam</t>
  </si>
  <si>
    <t>Lietuva kWh 2020 Steam</t>
  </si>
  <si>
    <t>Lietuva kWh 2021 Steam</t>
  </si>
  <si>
    <t>Lietuva kWh 2022 Steam</t>
  </si>
  <si>
    <t>Lietuva kWh 2023 Steam</t>
  </si>
  <si>
    <t>Estija GJ 2021 Steam</t>
  </si>
  <si>
    <t>Estija GJ 2022 Steam</t>
  </si>
  <si>
    <t>Estija GJ 2023 Steam</t>
  </si>
  <si>
    <t>Latvija GJ 2020 Steam</t>
  </si>
  <si>
    <t>Latvija GJ 2021 Steam</t>
  </si>
  <si>
    <t>Latvija GJ 2022 Steam</t>
  </si>
  <si>
    <t>Latvija GJ 2023 Steam</t>
  </si>
  <si>
    <t>Lietuva GJ 2020 Steam</t>
  </si>
  <si>
    <t>Lietuva GJ 2021 Steam</t>
  </si>
  <si>
    <t>Lietuva GJ 2022 Steam</t>
  </si>
  <si>
    <t>Lietuva GJ 2023 Steam</t>
  </si>
  <si>
    <t>Igaunija kWh 2021 Steam</t>
  </si>
  <si>
    <t>Igaunija kWh 2022 Steam</t>
  </si>
  <si>
    <t>Igaunija kWh 2023 Steam</t>
  </si>
  <si>
    <t>Igaunija GJ 2021 Steam</t>
  </si>
  <si>
    <t>Igaunija GJ 2022 Steam</t>
  </si>
  <si>
    <t>Igaunija GJ 2023 Steam</t>
  </si>
  <si>
    <t>Leedu kWh 2021 Steam</t>
  </si>
  <si>
    <t>Leedu kWh 2022 Steam</t>
  </si>
  <si>
    <t>Leedu kWh 2023 Steam</t>
  </si>
  <si>
    <t>Läti kWh 2020 Steam</t>
  </si>
  <si>
    <t>Läti kWh 2021 Steam</t>
  </si>
  <si>
    <t>Läti kWh 2022 Steam</t>
  </si>
  <si>
    <t>Läti kWh 2023 Steam</t>
  </si>
  <si>
    <t>Leedu GJ 2021 Steam</t>
  </si>
  <si>
    <t>Leedu GJ 2022 Steam</t>
  </si>
  <si>
    <t>Leedu GJ 2023 Steam</t>
  </si>
  <si>
    <t>Läti GJ 2020 Steam</t>
  </si>
  <si>
    <t>Läti GJ 2021 Steam</t>
  </si>
  <si>
    <t>Läti GJ 2022 Steam</t>
  </si>
  <si>
    <t>Läti GJ 2023 Steam</t>
  </si>
  <si>
    <t>RES Electricity</t>
  </si>
  <si>
    <t>pcs.</t>
  </si>
  <si>
    <t>corrected number of animals</t>
  </si>
  <si>
    <t>Total</t>
  </si>
  <si>
    <t>% share</t>
  </si>
  <si>
    <t>% actual data</t>
  </si>
  <si>
    <t>Coal GWh</t>
  </si>
  <si>
    <t>Burning Oil GWh</t>
  </si>
  <si>
    <t>LPG GWh</t>
  </si>
  <si>
    <r>
      <t>m</t>
    </r>
    <r>
      <rPr>
        <vertAlign val="superscript"/>
        <sz val="11"/>
        <rFont val="Calibri"/>
        <family val="2"/>
        <scheme val="minor"/>
      </rPr>
      <t>2</t>
    </r>
  </si>
  <si>
    <r>
      <rPr>
        <b/>
        <sz val="11"/>
        <color rgb="FF0070C0"/>
        <rFont val="Calibri"/>
        <family val="2"/>
        <charset val="238"/>
        <scheme val="minor"/>
      </rPr>
      <t>*</t>
    </r>
    <r>
      <rPr>
        <b/>
        <i/>
        <sz val="9"/>
        <color theme="0" tint="-0.499984740745262"/>
        <rFont val="Calibri"/>
        <family val="2"/>
        <charset val="238"/>
        <scheme val="minor"/>
      </rPr>
      <t>the number of animals at the end of reporting period (usually on 31</t>
    </r>
    <r>
      <rPr>
        <b/>
        <i/>
        <vertAlign val="superscript"/>
        <sz val="9"/>
        <color theme="0" tint="-0.499984740745262"/>
        <rFont val="Calibri"/>
        <family val="2"/>
        <charset val="238"/>
        <scheme val="minor"/>
      </rPr>
      <t>st</t>
    </r>
    <r>
      <rPr>
        <b/>
        <i/>
        <sz val="9"/>
        <color theme="0" tint="-0.499984740745262"/>
        <rFont val="Calibri"/>
        <family val="2"/>
        <charset val="238"/>
        <scheme val="minor"/>
      </rPr>
      <t xml:space="preserve"> of December)</t>
    </r>
  </si>
  <si>
    <r>
      <t xml:space="preserve">&gt;&gt;&gt; 
Please fill in columns for estimations </t>
    </r>
    <r>
      <rPr>
        <b/>
        <i/>
        <u/>
        <sz val="9"/>
        <color theme="0" tint="-0.499984740745262"/>
        <rFont val="Calibri"/>
        <family val="2"/>
        <scheme val="minor"/>
      </rPr>
      <t>only if</t>
    </r>
    <r>
      <rPr>
        <b/>
        <i/>
        <sz val="9"/>
        <color theme="0" tint="-0.499984740745262"/>
        <rFont val="Calibri"/>
        <family val="2"/>
        <scheme val="minor"/>
      </rPr>
      <t xml:space="preserve"> you do not have a data on consumption (on the left side)</t>
    </r>
  </si>
  <si>
    <t>Emissions not included in Scopes 1 and 2:</t>
  </si>
  <si>
    <t>Total Scope 1:</t>
  </si>
  <si>
    <t>STATIONARY EMISSIONS:</t>
  </si>
  <si>
    <t>BIOMASS:</t>
  </si>
  <si>
    <t>FUGITIVE EMISSIONS:</t>
  </si>
  <si>
    <t>OTHER PROCESS-RELATED EMISSIONS:</t>
  </si>
  <si>
    <t>ELECTRICITY:</t>
  </si>
  <si>
    <t>Total Scope 2:</t>
  </si>
  <si>
    <t>HEATING, COOLING, STEAM:</t>
  </si>
  <si>
    <t>GRAND TOTAL:</t>
  </si>
  <si>
    <t>END RESULTS</t>
  </si>
  <si>
    <t xml:space="preserve"> Dairy Cattle</t>
  </si>
  <si>
    <t xml:space="preserve"> Non-dairy cattle</t>
  </si>
  <si>
    <t xml:space="preserve"> Sheep</t>
  </si>
  <si>
    <t xml:space="preserve"> Swine</t>
  </si>
  <si>
    <t xml:space="preserve"> Goats</t>
  </si>
  <si>
    <t xml:space="preserve"> Horses</t>
  </si>
  <si>
    <t xml:space="preserve"> Poultry</t>
  </si>
  <si>
    <t xml:space="preserve"> Rabbit</t>
  </si>
  <si>
    <t>Your total emissions in _x000B_scope 1 and 2 are comparable  to:</t>
  </si>
  <si>
    <t>kms driven 
(petrol)</t>
  </si>
  <si>
    <r>
      <t>CO</t>
    </r>
    <r>
      <rPr>
        <i/>
        <vertAlign val="subscript"/>
        <sz val="9"/>
        <color theme="2" tint="-0.499984740745262"/>
        <rFont val="Calibri"/>
        <family val="2"/>
        <charset val="238"/>
        <scheme val="minor"/>
      </rPr>
      <t>2</t>
    </r>
    <r>
      <rPr>
        <i/>
        <sz val="9"/>
        <color theme="2" tint="-0.499984740745262"/>
        <rFont val="Calibri"/>
        <family val="2"/>
        <scheme val="minor"/>
      </rPr>
      <t xml:space="preserve"> emissions from biomass combustion are out of scopes (1 and 2), CH</t>
    </r>
    <r>
      <rPr>
        <i/>
        <vertAlign val="subscript"/>
        <sz val="9"/>
        <color theme="2" tint="-0.499984740745262"/>
        <rFont val="Calibri"/>
        <family val="2"/>
        <charset val="238"/>
        <scheme val="minor"/>
      </rPr>
      <t>4</t>
    </r>
    <r>
      <rPr>
        <i/>
        <sz val="9"/>
        <color theme="2" tint="-0.499984740745262"/>
        <rFont val="Calibri"/>
        <family val="2"/>
        <scheme val="minor"/>
      </rPr>
      <t xml:space="preserve"> and N</t>
    </r>
    <r>
      <rPr>
        <i/>
        <vertAlign val="subscript"/>
        <sz val="9"/>
        <color theme="2" tint="-0.499984740745262"/>
        <rFont val="Calibri"/>
        <family val="2"/>
        <charset val="238"/>
        <scheme val="minor"/>
      </rPr>
      <t>2</t>
    </r>
    <r>
      <rPr>
        <i/>
        <sz val="9"/>
        <color theme="2" tint="-0.499984740745262"/>
        <rFont val="Calibri"/>
        <family val="2"/>
        <scheme val="minor"/>
      </rPr>
      <t>O are included in Scope 1 (stationary combustion).</t>
    </r>
  </si>
  <si>
    <r>
      <t>tCO</t>
    </r>
    <r>
      <rPr>
        <vertAlign val="subscript"/>
        <sz val="11"/>
        <color theme="1"/>
        <rFont val="Calibri"/>
        <family val="2"/>
        <scheme val="minor"/>
      </rPr>
      <t>2</t>
    </r>
    <r>
      <rPr>
        <sz val="11"/>
        <color theme="1"/>
        <rFont val="Calibri"/>
        <family val="2"/>
        <scheme val="minor"/>
      </rPr>
      <t>e/year</t>
    </r>
  </si>
  <si>
    <t>RES certificates / PPA available?</t>
  </si>
  <si>
    <r>
      <t>tCO</t>
    </r>
    <r>
      <rPr>
        <i/>
        <vertAlign val="subscript"/>
        <sz val="11"/>
        <color theme="2" tint="-0.499984740745262"/>
        <rFont val="Calibri"/>
        <family val="2"/>
        <charset val="238"/>
        <scheme val="minor"/>
      </rPr>
      <t>2</t>
    </r>
    <r>
      <rPr>
        <i/>
        <sz val="11"/>
        <color theme="2" tint="-0.499984740745262"/>
        <rFont val="Calibri"/>
        <family val="2"/>
        <charset val="238"/>
        <scheme val="minor"/>
      </rPr>
      <t>e/year</t>
    </r>
  </si>
  <si>
    <t>Scope 3 (other indirect emissions)</t>
  </si>
  <si>
    <t>Data provided directly 
by the company</t>
  </si>
  <si>
    <t>Sum of Scope 3 emissions</t>
  </si>
  <si>
    <r>
      <t xml:space="preserve">Total % of </t>
    </r>
    <r>
      <rPr>
        <b/>
        <sz val="11"/>
        <color theme="4"/>
        <rFont val="Calibri"/>
        <family val="2"/>
        <charset val="238"/>
        <scheme val="minor"/>
      </rPr>
      <t>ESTIMATED</t>
    </r>
    <r>
      <rPr>
        <b/>
        <sz val="11"/>
        <color theme="1"/>
        <rFont val="Calibri"/>
        <family val="2"/>
        <charset val="238"/>
        <scheme val="minor"/>
      </rPr>
      <t xml:space="preserve"> data</t>
    </r>
    <r>
      <rPr>
        <sz val="11"/>
        <color theme="1"/>
        <rFont val="Calibri"/>
        <family val="2"/>
        <charset val="238"/>
        <scheme val="minor"/>
      </rPr>
      <t>:</t>
    </r>
  </si>
  <si>
    <t>DATA COVERAGE</t>
  </si>
  <si>
    <t>Scope 3</t>
  </si>
  <si>
    <t>Share of Scope 1, 2 and 3 [tCO2e]</t>
  </si>
  <si>
    <t>Introducing the GHG Emissions Calculator, a user-friendly tool designed to estimate annual greenhouse gas (GHG) emissions for small, medium businesses and as well as whole organizations. This Excel-based calculator simplifies the process of calculating emissions in scope 1 and 2, which include direct emissions from owned or controlled sources and indirect emissions from purchased energy sources, respectively. 
With various ways to input data, this tool allows users to easily introduce their organization's activity data and navigate through the Excel file. By utilizing this calculator, businesses can gain valuable insights into their emissions and take meaningful steps towards reducing their environmental impact.
Methodology of this tool is based on GHG Protocol. Emission factors and calculation approaches come from databases: AIB, CIBSE, DEFRA, EXIOBASE, New Zealand’s Greenhouse Gas Inventory 1990–2021 (only agricultural-specific topics) and national sources.
The calculation should be considered as a carbon footprint estimate only. It does not represent  exclusive calculation methodology and does not take exhaustive account of all circumstances affecting the calculation of the carbon footprint.</t>
  </si>
  <si>
    <t>% of manure going to field     &gt;&gt;&gt;</t>
  </si>
  <si>
    <t>Category 8: Upstream leased assets</t>
  </si>
  <si>
    <r>
      <t>Please fill in the data below. For enteric fermentation and manure managemenet please provide the number of animals you own. For soil N</t>
    </r>
    <r>
      <rPr>
        <vertAlign val="subscript"/>
        <sz val="10"/>
        <color theme="1"/>
        <rFont val="Calibri"/>
        <family val="2"/>
        <scheme val="minor"/>
      </rPr>
      <t>2</t>
    </r>
    <r>
      <rPr>
        <sz val="10"/>
        <color theme="1"/>
        <rFont val="Calibri"/>
        <family val="2"/>
        <scheme val="minor"/>
      </rPr>
      <t>O emissions please provide the amount of fertiliser used in the reported year.</t>
    </r>
  </si>
  <si>
    <r>
      <t>This category is a sum of 4 sub-categories: Enteric fermenetation, Manure management, Agricultural soils and soil N</t>
    </r>
    <r>
      <rPr>
        <i/>
        <vertAlign val="subscript"/>
        <sz val="10"/>
        <color theme="1"/>
        <rFont val="Calibri"/>
        <family val="2"/>
        <scheme val="minor"/>
      </rPr>
      <t>2</t>
    </r>
    <r>
      <rPr>
        <i/>
        <sz val="10"/>
        <color theme="1"/>
        <rFont val="Calibri"/>
        <family val="2"/>
        <scheme val="minor"/>
      </rPr>
      <t>O emissions.</t>
    </r>
  </si>
  <si>
    <r>
      <t xml:space="preserve"> The use of artificial fertiliser produces GHG emissions (soil N</t>
    </r>
    <r>
      <rPr>
        <i/>
        <vertAlign val="subscript"/>
        <sz val="10"/>
        <color theme="1"/>
        <rFont val="Calibri"/>
        <family val="2"/>
        <scheme val="minor"/>
      </rPr>
      <t>2</t>
    </r>
    <r>
      <rPr>
        <i/>
        <sz val="10"/>
        <color theme="1"/>
        <rFont val="Calibri"/>
        <family val="2"/>
        <scheme val="minor"/>
      </rPr>
      <t>O emissions). Artificial nitrogen fertiliser breaks down to produce nitrous oxide and carbon dioxide (urea).</t>
    </r>
  </si>
  <si>
    <r>
      <t xml:space="preserve">Please enter the details of company vehicles in the selected year. Include all cars that are owned or supervised by the company, including leased vehicles.
Please be aware that the most accurate level of emissions will be achieved by providing </t>
    </r>
    <r>
      <rPr>
        <b/>
        <sz val="10"/>
        <color theme="4"/>
        <rFont val="Calibri"/>
        <family val="2"/>
        <scheme val="minor"/>
      </rPr>
      <t>real consumption data</t>
    </r>
    <r>
      <rPr>
        <sz val="10"/>
        <color theme="1"/>
        <rFont val="Calibri"/>
        <family val="2"/>
        <scheme val="minor"/>
      </rPr>
      <t xml:space="preserve">, not by </t>
    </r>
    <r>
      <rPr>
        <b/>
        <sz val="10"/>
        <color theme="1"/>
        <rFont val="Calibri"/>
        <family val="2"/>
        <scheme val="minor"/>
      </rPr>
      <t>distance or expenses</t>
    </r>
    <r>
      <rPr>
        <sz val="10"/>
        <color theme="1"/>
        <rFont val="Calibri"/>
        <family val="2"/>
        <scheme val="minor"/>
      </rPr>
      <t>.</t>
    </r>
  </si>
  <si>
    <t xml:space="preserve">SHORT VIDEO: </t>
  </si>
  <si>
    <t>https://youtu.be/mSPj_psVe-k</t>
  </si>
  <si>
    <t xml:space="preserve">In case of any questions regarding the tool, please reach out to: </t>
  </si>
  <si>
    <t>info@lba.lt</t>
  </si>
  <si>
    <t>https://www.lba.lt/en/sustainability/greenhouse-gas-ghg-emissions-calculator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</si>
</sst>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 #,##0.00_-;_-* &quot;-&quot;??_-;_-@_-"/>
    <numFmt numFmtId="165" formatCode="#,##0.000"/>
    <numFmt numFmtId="166" formatCode="_-* #,##0_-;\-* #,##0_-;_-* &quot;-&quot;??_-;_-@_-"/>
    <numFmt numFmtId="167" formatCode="#,##0.0"/>
    <numFmt numFmtId="168" formatCode="0.00000"/>
    <numFmt numFmtId="169" formatCode="0.0%"/>
    <numFmt numFmtId="170" formatCode="0.0000"/>
    <numFmt numFmtId="171" formatCode="0.000"/>
    <numFmt numFmtId="172" formatCode="0.000000"/>
    <numFmt numFmtId="173" formatCode="0.0000000"/>
    <numFmt numFmtId="174" formatCode="0.0"/>
    <numFmt numFmtId="175" formatCode="#,##0.00000"/>
    <numFmt numFmtId="176" formatCode="#,##0.0000"/>
    <numFmt numFmtId="177" formatCode="#,##0.000000000"/>
    <numFmt numFmtId="178" formatCode="#,##0.0000000"/>
    <numFmt numFmtId="179" formatCode="0.00000000"/>
    <numFmt numFmtId="180" formatCode="#,##0_ ;\-#,##0\ "/>
  </numFmts>
  <fonts count="117" x14ac:knownFonts="1">
    <font>
      <sz val="11"/>
      <color theme="1"/>
      <name val="Calibri"/>
      <family val="2"/>
      <charset val="238"/>
      <scheme val="minor"/>
    </font>
    <font>
      <sz val="11"/>
      <color theme="1"/>
      <name val="Calibri"/>
      <family val="2"/>
      <scheme val="minor"/>
    </font>
    <font>
      <b/>
      <sz val="14"/>
      <color theme="1"/>
      <name val="Calibri"/>
      <family val="2"/>
      <scheme val="minor"/>
    </font>
    <font>
      <b/>
      <sz val="16"/>
      <color theme="1"/>
      <name val="Calibri"/>
      <family val="2"/>
      <scheme val="minor"/>
    </font>
    <font>
      <b/>
      <sz val="11"/>
      <color theme="1"/>
      <name val="Calibri"/>
      <family val="2"/>
      <scheme val="minor"/>
    </font>
    <font>
      <sz val="11"/>
      <color theme="1"/>
      <name val="Calibri"/>
      <family val="2"/>
      <charset val="238"/>
      <scheme val="minor"/>
    </font>
    <font>
      <b/>
      <sz val="11"/>
      <color theme="0"/>
      <name val="Calibri"/>
      <family val="2"/>
      <charset val="238"/>
      <scheme val="minor"/>
    </font>
    <font>
      <b/>
      <sz val="12"/>
      <color theme="1"/>
      <name val="Calibri"/>
      <family val="2"/>
      <scheme val="minor"/>
    </font>
    <font>
      <sz val="12"/>
      <color theme="1"/>
      <name val="Calibri"/>
      <family val="2"/>
      <charset val="238"/>
      <scheme val="minor"/>
    </font>
    <font>
      <b/>
      <sz val="11"/>
      <color theme="5"/>
      <name val="Calibri"/>
      <family val="2"/>
      <scheme val="minor"/>
    </font>
    <font>
      <b/>
      <sz val="11"/>
      <color theme="2" tint="-0.249977111117893"/>
      <name val="Calibri"/>
      <family val="2"/>
      <scheme val="minor"/>
    </font>
    <font>
      <u/>
      <sz val="11"/>
      <color theme="10"/>
      <name val="Calibri"/>
      <family val="2"/>
      <charset val="238"/>
      <scheme val="minor"/>
    </font>
    <font>
      <vertAlign val="subscript"/>
      <sz val="11"/>
      <color theme="1"/>
      <name val="Calibri"/>
      <family val="2"/>
      <scheme val="minor"/>
    </font>
    <font>
      <vertAlign val="superscript"/>
      <sz val="11"/>
      <color theme="1"/>
      <name val="Calibri"/>
      <family val="2"/>
      <scheme val="minor"/>
    </font>
    <font>
      <sz val="8"/>
      <name val="Calibri"/>
      <family val="2"/>
      <charset val="238"/>
      <scheme val="minor"/>
    </font>
    <font>
      <i/>
      <sz val="11"/>
      <color theme="1"/>
      <name val="Calibri"/>
      <family val="2"/>
      <scheme val="minor"/>
    </font>
    <font>
      <i/>
      <sz val="11"/>
      <color theme="1" tint="0.34998626667073579"/>
      <name val="Calibri"/>
      <family val="2"/>
      <scheme val="minor"/>
    </font>
    <font>
      <b/>
      <sz val="11"/>
      <color theme="4"/>
      <name val="Calibri"/>
      <family val="2"/>
      <scheme val="minor"/>
    </font>
    <font>
      <b/>
      <sz val="12"/>
      <color theme="4"/>
      <name val="Calibri"/>
      <family val="2"/>
      <scheme val="minor"/>
    </font>
    <font>
      <sz val="11"/>
      <color theme="4"/>
      <name val="Calibri"/>
      <family val="2"/>
      <scheme val="minor"/>
    </font>
    <font>
      <b/>
      <i/>
      <sz val="9"/>
      <color theme="1" tint="0.499984740745262"/>
      <name val="Calibri"/>
      <family val="2"/>
      <scheme val="minor"/>
    </font>
    <font>
      <b/>
      <i/>
      <u/>
      <sz val="9"/>
      <color theme="1" tint="0.499984740745262"/>
      <name val="Calibri"/>
      <family val="2"/>
      <scheme val="minor"/>
    </font>
    <font>
      <b/>
      <i/>
      <sz val="11"/>
      <color theme="4"/>
      <name val="Calibri"/>
      <family val="2"/>
      <scheme val="minor"/>
    </font>
    <font>
      <sz val="11"/>
      <color theme="0" tint="-0.14999847407452621"/>
      <name val="Calibri"/>
      <family val="2"/>
      <charset val="238"/>
      <scheme val="minor"/>
    </font>
    <font>
      <b/>
      <u/>
      <sz val="12"/>
      <color theme="4"/>
      <name val="Calibri"/>
      <family val="2"/>
      <scheme val="minor"/>
    </font>
    <font>
      <sz val="11"/>
      <color rgb="FFFF0000"/>
      <name val="Calibri"/>
      <family val="2"/>
      <charset val="238"/>
      <scheme val="minor"/>
    </font>
    <font>
      <b/>
      <sz val="11"/>
      <color theme="1"/>
      <name val="Calibri"/>
      <family val="2"/>
      <charset val="238"/>
      <scheme val="minor"/>
    </font>
    <font>
      <i/>
      <sz val="10"/>
      <color theme="1"/>
      <name val="Calibri"/>
      <family val="2"/>
      <scheme val="minor"/>
    </font>
    <font>
      <sz val="10"/>
      <color theme="1"/>
      <name val="Calibri"/>
      <family val="2"/>
      <scheme val="minor"/>
    </font>
    <font>
      <b/>
      <sz val="10"/>
      <color theme="4"/>
      <name val="Calibri"/>
      <family val="2"/>
      <scheme val="minor"/>
    </font>
    <font>
      <b/>
      <sz val="10"/>
      <color theme="1"/>
      <name val="Calibri"/>
      <family val="2"/>
      <scheme val="minor"/>
    </font>
    <font>
      <b/>
      <i/>
      <sz val="10"/>
      <color theme="0" tint="-0.499984740745262"/>
      <name val="Calibri"/>
      <family val="2"/>
      <scheme val="minor"/>
    </font>
    <font>
      <b/>
      <i/>
      <u/>
      <sz val="10"/>
      <color theme="0" tint="-0.499984740745262"/>
      <name val="Calibri"/>
      <family val="2"/>
      <scheme val="minor"/>
    </font>
    <font>
      <i/>
      <sz val="9"/>
      <color theme="4"/>
      <name val="Calibri"/>
      <family val="2"/>
      <scheme val="minor"/>
    </font>
    <font>
      <i/>
      <sz val="9"/>
      <color theme="1"/>
      <name val="Calibri"/>
      <family val="2"/>
      <scheme val="minor"/>
    </font>
    <font>
      <sz val="10"/>
      <color rgb="FF0B0C0C"/>
      <name val="Arial"/>
      <family val="2"/>
    </font>
    <font>
      <sz val="11"/>
      <color theme="1" tint="0.34998626667073579"/>
      <name val="Calibri"/>
      <family val="2"/>
      <charset val="238"/>
      <scheme val="minor"/>
    </font>
    <font>
      <sz val="10"/>
      <name val="Arial"/>
      <family val="2"/>
      <charset val="238"/>
    </font>
    <font>
      <sz val="10"/>
      <color theme="1"/>
      <name val="Arial"/>
      <family val="2"/>
    </font>
    <font>
      <sz val="10"/>
      <name val="Arial"/>
      <family val="2"/>
    </font>
    <font>
      <u/>
      <sz val="11"/>
      <color indexed="12"/>
      <name val="Calibri"/>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sz val="11"/>
      <color theme="1"/>
      <name val="Arial"/>
      <family val="2"/>
    </font>
    <font>
      <b/>
      <sz val="10"/>
      <color theme="0"/>
      <name val="Arial"/>
      <family val="2"/>
    </font>
    <font>
      <sz val="18"/>
      <color theme="3"/>
      <name val="Calibri Light"/>
      <family val="2"/>
      <scheme val="major"/>
    </font>
    <font>
      <sz val="11"/>
      <name val="Calibri"/>
      <family val="2"/>
      <charset val="238"/>
      <scheme val="minor"/>
    </font>
    <font>
      <b/>
      <vertAlign val="subscript"/>
      <sz val="11"/>
      <color theme="1"/>
      <name val="Calibri"/>
      <family val="2"/>
      <scheme val="minor"/>
    </font>
    <font>
      <b/>
      <i/>
      <sz val="10"/>
      <color theme="1"/>
      <name val="Calibri"/>
      <family val="2"/>
      <scheme val="minor"/>
    </font>
    <font>
      <i/>
      <sz val="12"/>
      <color theme="1" tint="0.34998626667073579"/>
      <name val="Calibri"/>
      <family val="2"/>
      <scheme val="minor"/>
    </font>
    <font>
      <sz val="10"/>
      <color theme="1"/>
      <name val="Calibri"/>
      <family val="2"/>
      <charset val="238"/>
      <scheme val="minor"/>
    </font>
    <font>
      <i/>
      <sz val="11"/>
      <color theme="1" tint="0.499984740745262"/>
      <name val="Calibri"/>
      <family val="2"/>
      <scheme val="minor"/>
    </font>
    <font>
      <i/>
      <sz val="11"/>
      <color theme="4"/>
      <name val="Calibri"/>
      <family val="2"/>
      <scheme val="minor"/>
    </font>
    <font>
      <i/>
      <sz val="9"/>
      <color theme="4" tint="-0.249977111117893"/>
      <name val="Calibri"/>
      <family val="2"/>
      <scheme val="minor"/>
    </font>
    <font>
      <b/>
      <sz val="11"/>
      <color theme="0" tint="-0.499984740745262"/>
      <name val="Calibri"/>
      <family val="2"/>
      <scheme val="minor"/>
    </font>
    <font>
      <sz val="11"/>
      <color theme="0" tint="-0.499984740745262"/>
      <name val="Calibri"/>
      <family val="2"/>
      <scheme val="minor"/>
    </font>
    <font>
      <b/>
      <vertAlign val="subscript"/>
      <sz val="11"/>
      <color theme="0" tint="-0.499984740745262"/>
      <name val="Calibri"/>
      <family val="2"/>
      <scheme val="minor"/>
    </font>
    <font>
      <i/>
      <sz val="9"/>
      <color theme="2" tint="-0.499984740745262"/>
      <name val="Calibri"/>
      <family val="2"/>
      <scheme val="minor"/>
    </font>
    <font>
      <b/>
      <vertAlign val="subscript"/>
      <sz val="11"/>
      <color theme="0" tint="-0.499984740745262"/>
      <name val="Calibri"/>
      <family val="2"/>
      <charset val="238"/>
      <scheme val="minor"/>
    </font>
    <font>
      <i/>
      <sz val="11"/>
      <color theme="1"/>
      <name val="Calibri"/>
      <family val="2"/>
      <charset val="238"/>
      <scheme val="minor"/>
    </font>
    <font>
      <i/>
      <sz val="11"/>
      <color theme="2" tint="-0.499984740745262"/>
      <name val="Calibri"/>
      <family val="2"/>
      <charset val="238"/>
      <scheme val="minor"/>
    </font>
    <font>
      <b/>
      <i/>
      <sz val="11"/>
      <color theme="2" tint="-0.499984740745262"/>
      <name val="Calibri"/>
      <family val="2"/>
      <charset val="238"/>
      <scheme val="minor"/>
    </font>
    <font>
      <i/>
      <vertAlign val="subscript"/>
      <sz val="9"/>
      <color theme="2" tint="-0.499984740745262"/>
      <name val="Calibri"/>
      <family val="2"/>
      <charset val="238"/>
      <scheme val="minor"/>
    </font>
    <font>
      <sz val="11"/>
      <color theme="4"/>
      <name val="Calibri"/>
      <family val="2"/>
      <charset val="238"/>
      <scheme val="minor"/>
    </font>
    <font>
      <sz val="10"/>
      <color rgb="FF053D5F"/>
      <name val="Calibri"/>
      <family val="2"/>
      <scheme val="minor"/>
    </font>
    <font>
      <sz val="10"/>
      <name val="Calibri"/>
      <family val="2"/>
      <scheme val="minor"/>
    </font>
    <font>
      <i/>
      <sz val="10"/>
      <color rgb="FF053D5F"/>
      <name val="Calibri"/>
      <family val="2"/>
      <scheme val="minor"/>
    </font>
    <font>
      <b/>
      <sz val="10"/>
      <color rgb="FF053D5F"/>
      <name val="Calibri"/>
      <family val="2"/>
      <scheme val="minor"/>
    </font>
    <font>
      <sz val="10"/>
      <color rgb="FF053D5F"/>
      <name val="Arial"/>
      <family val="2"/>
    </font>
    <font>
      <sz val="10"/>
      <name val="Calibri"/>
      <family val="2"/>
      <charset val="238"/>
      <scheme val="minor"/>
    </font>
    <font>
      <vertAlign val="subscript"/>
      <sz val="10"/>
      <name val="Calibri"/>
      <family val="2"/>
      <charset val="238"/>
    </font>
    <font>
      <sz val="10"/>
      <name val="Calibri"/>
      <family val="2"/>
      <charset val="238"/>
    </font>
    <font>
      <b/>
      <sz val="10"/>
      <color theme="0"/>
      <name val="Calibri"/>
      <family val="2"/>
      <charset val="238"/>
      <scheme val="minor"/>
    </font>
    <font>
      <i/>
      <sz val="10"/>
      <color theme="0"/>
      <name val="Calibri"/>
      <family val="2"/>
      <charset val="238"/>
      <scheme val="minor"/>
    </font>
    <font>
      <b/>
      <sz val="11"/>
      <color theme="4"/>
      <name val="Calibri"/>
      <family val="2"/>
      <charset val="238"/>
      <scheme val="minor"/>
    </font>
    <font>
      <i/>
      <sz val="9"/>
      <color theme="2" tint="-0.499984740745262"/>
      <name val="Calibri"/>
      <family val="2"/>
      <charset val="238"/>
      <scheme val="minor"/>
    </font>
    <font>
      <i/>
      <sz val="9"/>
      <color theme="4"/>
      <name val="Calibri"/>
      <family val="2"/>
      <charset val="238"/>
      <scheme val="minor"/>
    </font>
    <font>
      <sz val="10"/>
      <color theme="4"/>
      <name val="Calibri"/>
      <family val="2"/>
      <charset val="238"/>
      <scheme val="minor"/>
    </font>
    <font>
      <b/>
      <sz val="10"/>
      <color theme="4"/>
      <name val="Calibri"/>
      <family val="2"/>
      <charset val="238"/>
      <scheme val="minor"/>
    </font>
    <font>
      <b/>
      <vertAlign val="subscript"/>
      <sz val="12"/>
      <color theme="4"/>
      <name val="Calibri"/>
      <family val="2"/>
      <charset val="238"/>
      <scheme val="minor"/>
    </font>
    <font>
      <i/>
      <vertAlign val="superscript"/>
      <sz val="11"/>
      <color theme="1"/>
      <name val="Calibri"/>
      <family val="2"/>
      <charset val="238"/>
      <scheme val="minor"/>
    </font>
    <font>
      <i/>
      <sz val="11"/>
      <name val="Calibri"/>
      <family val="2"/>
      <charset val="238"/>
      <scheme val="minor"/>
    </font>
    <font>
      <i/>
      <sz val="11"/>
      <color theme="2" tint="-0.499984740745262"/>
      <name val="Calibri"/>
      <family val="2"/>
      <scheme val="minor"/>
    </font>
    <font>
      <b/>
      <sz val="11"/>
      <color theme="2" tint="-0.499984740745262"/>
      <name val="Calibri"/>
      <family val="2"/>
      <scheme val="minor"/>
    </font>
    <font>
      <b/>
      <i/>
      <sz val="11"/>
      <color rgb="FF0070C0"/>
      <name val="Calibri"/>
      <family val="2"/>
      <charset val="238"/>
      <scheme val="minor"/>
    </font>
    <font>
      <sz val="11"/>
      <name val="Calibri"/>
      <family val="2"/>
      <scheme val="minor"/>
    </font>
    <font>
      <vertAlign val="superscript"/>
      <sz val="11"/>
      <name val="Calibri"/>
      <family val="2"/>
      <scheme val="minor"/>
    </font>
    <font>
      <b/>
      <sz val="11"/>
      <color theme="0" tint="-0.499984740745262"/>
      <name val="Calibri"/>
      <family val="2"/>
      <charset val="238"/>
      <scheme val="minor"/>
    </font>
    <font>
      <b/>
      <sz val="11"/>
      <color rgb="FF0070C0"/>
      <name val="Calibri"/>
      <family val="2"/>
      <charset val="238"/>
      <scheme val="minor"/>
    </font>
    <font>
      <b/>
      <i/>
      <sz val="9"/>
      <color theme="0" tint="-0.499984740745262"/>
      <name val="Calibri"/>
      <family val="2"/>
      <charset val="238"/>
      <scheme val="minor"/>
    </font>
    <font>
      <b/>
      <i/>
      <vertAlign val="superscript"/>
      <sz val="9"/>
      <color theme="0" tint="-0.499984740745262"/>
      <name val="Calibri"/>
      <family val="2"/>
      <charset val="238"/>
      <scheme val="minor"/>
    </font>
    <font>
      <b/>
      <i/>
      <sz val="9"/>
      <color theme="0" tint="-0.499984740745262"/>
      <name val="Calibri"/>
      <family val="2"/>
      <scheme val="minor"/>
    </font>
    <font>
      <b/>
      <i/>
      <u/>
      <sz val="9"/>
      <color theme="0" tint="-0.499984740745262"/>
      <name val="Calibri"/>
      <family val="2"/>
      <scheme val="minor"/>
    </font>
    <font>
      <sz val="11"/>
      <color theme="2" tint="-0.499984740745262"/>
      <name val="Calibri"/>
      <family val="2"/>
      <scheme val="minor"/>
    </font>
    <font>
      <i/>
      <vertAlign val="subscript"/>
      <sz val="11"/>
      <color theme="2" tint="-0.499984740745262"/>
      <name val="Calibri"/>
      <family val="2"/>
      <charset val="238"/>
      <scheme val="minor"/>
    </font>
    <font>
      <b/>
      <sz val="11"/>
      <color theme="0"/>
      <name val="Calibri Light"/>
      <family val="2"/>
      <charset val="238"/>
      <scheme val="major"/>
    </font>
    <font>
      <b/>
      <sz val="11"/>
      <color theme="1"/>
      <name val="Calibri Light"/>
      <family val="2"/>
      <charset val="238"/>
      <scheme val="major"/>
    </font>
    <font>
      <b/>
      <sz val="11"/>
      <name val="Calibri Light"/>
      <family val="2"/>
      <charset val="238"/>
      <scheme val="major"/>
    </font>
    <font>
      <sz val="11"/>
      <color theme="1"/>
      <name val="Calibri Light"/>
      <family val="2"/>
      <charset val="238"/>
      <scheme val="major"/>
    </font>
    <font>
      <sz val="11"/>
      <color theme="0"/>
      <name val="Calibri Light"/>
      <family val="2"/>
      <charset val="238"/>
      <scheme val="major"/>
    </font>
    <font>
      <sz val="11"/>
      <name val="Calibri Light"/>
      <family val="2"/>
      <charset val="238"/>
      <scheme val="major"/>
    </font>
    <font>
      <b/>
      <sz val="11"/>
      <color theme="7" tint="-0.499984740745262"/>
      <name val="Calibri Light"/>
      <family val="2"/>
      <charset val="238"/>
      <scheme val="major"/>
    </font>
    <font>
      <sz val="11"/>
      <color theme="7" tint="-0.499984740745262"/>
      <name val="Calibri Light"/>
      <family val="2"/>
      <charset val="238"/>
      <scheme val="major"/>
    </font>
    <font>
      <strike/>
      <sz val="11"/>
      <color rgb="FFC00000"/>
      <name val="Calibri Light"/>
      <family val="2"/>
      <charset val="238"/>
      <scheme val="major"/>
    </font>
    <font>
      <sz val="11"/>
      <color theme="0"/>
      <name val="Calibri"/>
      <family val="2"/>
      <charset val="238"/>
      <scheme val="minor"/>
    </font>
    <font>
      <sz val="11"/>
      <color theme="7" tint="-0.499984740745262"/>
      <name val="Calibri Light"/>
      <family val="2"/>
      <scheme val="major"/>
    </font>
    <font>
      <sz val="11"/>
      <color theme="1"/>
      <name val="Calibri Light"/>
      <family val="2"/>
      <scheme val="major"/>
    </font>
    <font>
      <b/>
      <sz val="11"/>
      <color theme="1"/>
      <name val="Calibri Light"/>
      <family val="2"/>
      <scheme val="major"/>
    </font>
    <font>
      <vertAlign val="subscript"/>
      <sz val="10"/>
      <color theme="1"/>
      <name val="Calibri"/>
      <family val="2"/>
      <scheme val="minor"/>
    </font>
    <font>
      <i/>
      <vertAlign val="subscript"/>
      <sz val="10"/>
      <color theme="1"/>
      <name val="Calibri"/>
      <family val="2"/>
      <scheme val="minor"/>
    </font>
  </fonts>
  <fills count="60">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1"/>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2" tint="-0.499984740745262"/>
        <bgColor indexed="64"/>
      </patternFill>
    </fill>
    <fill>
      <patternFill patternType="gray125">
        <bgColor theme="0"/>
      </patternFill>
    </fill>
    <fill>
      <patternFill patternType="solid">
        <fgColor theme="2" tint="-0.749992370372631"/>
        <bgColor indexed="64"/>
      </patternFill>
    </fill>
    <fill>
      <patternFill patternType="gray0625">
        <bgColor theme="0" tint="-0.14996795556505021"/>
      </patternFill>
    </fill>
    <fill>
      <patternFill patternType="gray0625">
        <fgColor theme="2" tint="-0.499984740745262"/>
        <bgColor theme="0" tint="-4.9989318521683403E-2"/>
      </patternFill>
    </fill>
    <fill>
      <patternFill patternType="solid">
        <fgColor theme="2" tint="-9.9978637043366805E-2"/>
        <bgColor indexed="64"/>
      </patternFill>
    </fill>
    <fill>
      <patternFill patternType="gray0625">
        <bgColor theme="7" tint="0.59999389629810485"/>
      </patternFill>
    </fill>
    <fill>
      <patternFill patternType="solid">
        <fgColor theme="5" tint="0.39997558519241921"/>
        <bgColor indexed="64"/>
      </patternFill>
    </fill>
    <fill>
      <patternFill patternType="gray0625">
        <bgColor theme="0" tint="-4.9989318521683403E-2"/>
      </patternFill>
    </fill>
    <fill>
      <patternFill patternType="gray0625">
        <fgColor rgb="FFC00000"/>
        <bgColor theme="2" tint="-9.9948118533890809E-2"/>
      </patternFill>
    </fill>
    <fill>
      <patternFill patternType="gray125">
        <bgColor theme="4" tint="0.79998168889431442"/>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left>
      <right/>
      <top style="thin">
        <color theme="0"/>
      </top>
      <bottom/>
      <diagonal/>
    </border>
    <border>
      <left/>
      <right style="thin">
        <color theme="0"/>
      </right>
      <top style="thin">
        <color theme="0"/>
      </top>
      <bottom/>
      <diagonal/>
    </border>
    <border>
      <left/>
      <right/>
      <top style="medium">
        <color indexed="64"/>
      </top>
      <bottom/>
      <diagonal/>
    </border>
    <border>
      <left style="medium">
        <color indexed="64"/>
      </left>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thick">
        <color indexed="64"/>
      </top>
      <bottom/>
      <diagonal/>
    </border>
    <border>
      <left/>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style="thin">
        <color auto="1"/>
      </top>
      <bottom/>
      <diagonal/>
    </border>
    <border>
      <left style="medium">
        <color auto="1"/>
      </left>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right/>
      <top style="thin">
        <color theme="2" tint="-9.9948118533890809E-2"/>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right/>
      <top/>
      <bottom style="thin">
        <color theme="2" tint="-9.9917600024414813E-2"/>
      </bottom>
      <diagonal/>
    </border>
    <border>
      <left/>
      <right/>
      <top style="thin">
        <color theme="2" tint="-9.9917600024414813E-2"/>
      </top>
      <bottom/>
      <diagonal/>
    </border>
    <border>
      <left/>
      <right/>
      <top/>
      <bottom style="thin">
        <color theme="2" tint="-9.9887081514938816E-2"/>
      </bottom>
      <diagonal/>
    </border>
    <border>
      <left/>
      <right/>
      <top style="thin">
        <color theme="2" tint="-9.9887081514938816E-2"/>
      </top>
      <bottom/>
      <diagonal/>
    </border>
    <border>
      <left/>
      <right/>
      <top/>
      <bottom style="thin">
        <color theme="2" tint="-9.985656300546282E-2"/>
      </bottom>
      <diagonal/>
    </border>
    <border>
      <left/>
      <right/>
      <top style="thin">
        <color theme="2" tint="-9.985656300546282E-2"/>
      </top>
      <bottom/>
      <diagonal/>
    </border>
    <border>
      <left/>
      <right/>
      <top/>
      <bottom style="thin">
        <color theme="2" tint="-9.982604449598681E-2"/>
      </bottom>
      <diagonal/>
    </border>
    <border>
      <left/>
      <right/>
      <top style="thin">
        <color theme="2" tint="-9.982604449598681E-2"/>
      </top>
      <bottom/>
      <diagonal/>
    </border>
    <border>
      <left/>
      <right/>
      <top/>
      <bottom style="thin">
        <color theme="2" tint="-9.9795525986510814E-2"/>
      </bottom>
      <diagonal/>
    </border>
    <border>
      <left/>
      <right/>
      <top style="thin">
        <color theme="2" tint="-9.9948118533890809E-2"/>
      </top>
      <bottom style="dashed">
        <color theme="2" tint="-9.9917600024414813E-2"/>
      </bottom>
      <diagonal/>
    </border>
    <border>
      <left/>
      <right/>
      <top style="dashed">
        <color theme="2" tint="-9.9917600024414813E-2"/>
      </top>
      <bottom style="dashed">
        <color theme="2" tint="-9.9917600024414813E-2"/>
      </bottom>
      <diagonal/>
    </border>
    <border>
      <left/>
      <right/>
      <top style="dashed">
        <color theme="2" tint="-9.9917600024414813E-2"/>
      </top>
      <bottom style="thin">
        <color theme="2" tint="-9.9948118533890809E-2"/>
      </bottom>
      <diagonal/>
    </border>
    <border>
      <left/>
      <right/>
      <top style="dashed">
        <color theme="2" tint="-9.9948118533890809E-2"/>
      </top>
      <bottom style="dashed">
        <color theme="2" tint="-9.9948118533890809E-2"/>
      </bottom>
      <diagonal/>
    </border>
    <border>
      <left style="thin">
        <color theme="2" tint="-9.9917600024414813E-2"/>
      </left>
      <right/>
      <top style="thin">
        <color theme="2" tint="-9.9948118533890809E-2"/>
      </top>
      <bottom style="thin">
        <color theme="2" tint="-9.9948118533890809E-2"/>
      </bottom>
      <diagonal/>
    </border>
    <border>
      <left/>
      <right style="medium">
        <color theme="0"/>
      </right>
      <top style="thin">
        <color theme="2" tint="-9.9948118533890809E-2"/>
      </top>
      <bottom style="thin">
        <color theme="2" tint="-9.9948118533890809E-2"/>
      </bottom>
      <diagonal/>
    </border>
    <border>
      <left/>
      <right/>
      <top/>
      <bottom style="dashed">
        <color theme="2" tint="-9.9948118533890809E-2"/>
      </bottom>
      <diagonal/>
    </border>
    <border>
      <left style="medium">
        <color auto="1"/>
      </left>
      <right style="medium">
        <color indexed="64"/>
      </right>
      <top style="thin">
        <color auto="1"/>
      </top>
      <bottom style="medium">
        <color auto="1"/>
      </bottom>
      <diagonal/>
    </border>
    <border>
      <left style="medium">
        <color auto="1"/>
      </left>
      <right style="medium">
        <color indexed="64"/>
      </right>
      <top/>
      <bottom style="thin">
        <color indexed="64"/>
      </bottom>
      <diagonal/>
    </border>
    <border>
      <left style="medium">
        <color auto="1"/>
      </left>
      <right style="medium">
        <color indexed="64"/>
      </right>
      <top style="medium">
        <color indexed="64"/>
      </top>
      <bottom style="thin">
        <color auto="1"/>
      </bottom>
      <diagonal/>
    </border>
    <border>
      <left/>
      <right/>
      <top style="dashed">
        <color theme="2" tint="-9.9948118533890809E-2"/>
      </top>
      <bottom/>
      <diagonal/>
    </border>
    <border>
      <left style="medium">
        <color theme="7" tint="-0.24994659260841701"/>
      </left>
      <right/>
      <top style="medium">
        <color theme="7" tint="-0.24994659260841701"/>
      </top>
      <bottom style="thin">
        <color auto="1"/>
      </bottom>
      <diagonal/>
    </border>
    <border>
      <left/>
      <right style="medium">
        <color theme="7" tint="-0.24994659260841701"/>
      </right>
      <top style="medium">
        <color theme="7" tint="-0.24994659260841701"/>
      </top>
      <bottom style="thin">
        <color auto="1"/>
      </bottom>
      <diagonal/>
    </border>
    <border>
      <left style="medium">
        <color theme="7" tint="-0.24994659260841701"/>
      </left>
      <right/>
      <top style="thin">
        <color auto="1"/>
      </top>
      <bottom style="thin">
        <color auto="1"/>
      </bottom>
      <diagonal/>
    </border>
    <border>
      <left/>
      <right style="medium">
        <color theme="7" tint="-0.24994659260841701"/>
      </right>
      <top style="thin">
        <color auto="1"/>
      </top>
      <bottom style="thin">
        <color auto="1"/>
      </bottom>
      <diagonal/>
    </border>
    <border>
      <left style="medium">
        <color theme="7" tint="-0.24994659260841701"/>
      </left>
      <right/>
      <top style="thin">
        <color auto="1"/>
      </top>
      <bottom style="medium">
        <color theme="7" tint="-0.24994659260841701"/>
      </bottom>
      <diagonal/>
    </border>
    <border>
      <left/>
      <right style="medium">
        <color theme="7" tint="-0.24994659260841701"/>
      </right>
      <top style="thin">
        <color auto="1"/>
      </top>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style="thin">
        <color theme="2" tint="-9.9948118533890809E-2"/>
      </top>
      <bottom style="thin">
        <color theme="2" tint="-9.9917600024414813E-2"/>
      </bottom>
      <diagonal/>
    </border>
    <border>
      <left/>
      <right/>
      <top style="thin">
        <color theme="2" tint="-9.9917600024414813E-2"/>
      </top>
      <bottom style="thin">
        <color theme="2" tint="-9.9917600024414813E-2"/>
      </bottom>
      <diagonal/>
    </border>
    <border>
      <left/>
      <right/>
      <top style="thin">
        <color theme="2" tint="-9.9917600024414813E-2"/>
      </top>
      <bottom style="thin">
        <color theme="2" tint="-9.9948118533890809E-2"/>
      </bottom>
      <diagonal/>
    </border>
    <border>
      <left style="thin">
        <color theme="2" tint="-9.9917600024414813E-2"/>
      </left>
      <right/>
      <top style="thin">
        <color theme="2" tint="-9.9948118533890809E-2"/>
      </top>
      <bottom style="thin">
        <color theme="2" tint="-9.9917600024414813E-2"/>
      </bottom>
      <diagonal/>
    </border>
    <border>
      <left/>
      <right style="medium">
        <color theme="0"/>
      </right>
      <top style="thin">
        <color theme="2" tint="-9.9948118533890809E-2"/>
      </top>
      <bottom style="thin">
        <color theme="2" tint="-9.9917600024414813E-2"/>
      </bottom>
      <diagonal/>
    </border>
    <border>
      <left style="thin">
        <color theme="2" tint="-9.9917600024414813E-2"/>
      </left>
      <right/>
      <top style="thin">
        <color theme="2" tint="-9.9917600024414813E-2"/>
      </top>
      <bottom style="thin">
        <color theme="2" tint="-9.9917600024414813E-2"/>
      </bottom>
      <diagonal/>
    </border>
    <border>
      <left/>
      <right style="medium">
        <color theme="0"/>
      </right>
      <top style="thin">
        <color theme="2" tint="-9.9917600024414813E-2"/>
      </top>
      <bottom style="thin">
        <color theme="2" tint="-9.9917600024414813E-2"/>
      </bottom>
      <diagonal/>
    </border>
    <border>
      <left/>
      <right style="thin">
        <color theme="2" tint="-9.9917600024414813E-2"/>
      </right>
      <top style="thin">
        <color theme="2" tint="-9.9917600024414813E-2"/>
      </top>
      <bottom style="thin">
        <color theme="2" tint="-9.9917600024414813E-2"/>
      </bottom>
      <diagonal/>
    </border>
    <border>
      <left style="thin">
        <color theme="2" tint="-9.9917600024414813E-2"/>
      </left>
      <right/>
      <top style="thin">
        <color theme="2" tint="-9.9917600024414813E-2"/>
      </top>
      <bottom style="thin">
        <color theme="2" tint="-9.9948118533890809E-2"/>
      </bottom>
      <diagonal/>
    </border>
    <border>
      <left/>
      <right/>
      <top style="thin">
        <color theme="0" tint="-0.14996795556505021"/>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n">
        <color theme="0" tint="-0.14996795556505021"/>
      </bottom>
      <diagonal/>
    </border>
    <border>
      <left style="thin">
        <color theme="0"/>
      </left>
      <right/>
      <top style="thin">
        <color theme="2" tint="-9.9948118533890809E-2"/>
      </top>
      <bottom style="thin">
        <color theme="2" tint="-9.9917600024414813E-2"/>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top/>
      <bottom style="thin">
        <color theme="0" tint="-0.499984740745262"/>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left>
      <right/>
      <top/>
      <bottom style="thin">
        <color theme="2" tint="-9.9948118533890809E-2"/>
      </bottom>
      <diagonal/>
    </border>
    <border>
      <left/>
      <right style="thin">
        <color theme="0"/>
      </right>
      <top/>
      <bottom style="thin">
        <color theme="2" tint="-9.9948118533890809E-2"/>
      </bottom>
      <diagonal/>
    </border>
    <border>
      <left style="thin">
        <color theme="0"/>
      </left>
      <right/>
      <top style="thin">
        <color theme="2" tint="-9.9948118533890809E-2"/>
      </top>
      <bottom style="thin">
        <color theme="2" tint="-9.9948118533890809E-2"/>
      </bottom>
      <diagonal/>
    </border>
    <border>
      <left/>
      <right style="thin">
        <color theme="0"/>
      </right>
      <top style="thin">
        <color theme="2" tint="-9.9948118533890809E-2"/>
      </top>
      <bottom style="thin">
        <color theme="2" tint="-9.9948118533890809E-2"/>
      </bottom>
      <diagonal/>
    </border>
    <border>
      <left style="thin">
        <color theme="2" tint="-0.499984740745262"/>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7" tint="-0.24994659260841701"/>
      </left>
      <right style="thin">
        <color auto="1"/>
      </right>
      <top style="medium">
        <color theme="7" tint="-0.24994659260841701"/>
      </top>
      <bottom style="thin">
        <color auto="1"/>
      </bottom>
      <diagonal/>
    </border>
    <border>
      <left style="thin">
        <color auto="1"/>
      </left>
      <right style="medium">
        <color theme="7" tint="-0.24994659260841701"/>
      </right>
      <top style="medium">
        <color theme="7" tint="-0.24994659260841701"/>
      </top>
      <bottom style="thin">
        <color auto="1"/>
      </bottom>
      <diagonal/>
    </border>
    <border>
      <left style="medium">
        <color theme="7" tint="-0.24994659260841701"/>
      </left>
      <right style="thin">
        <color auto="1"/>
      </right>
      <top style="thin">
        <color auto="1"/>
      </top>
      <bottom style="thin">
        <color auto="1"/>
      </bottom>
      <diagonal/>
    </border>
    <border>
      <left style="thin">
        <color auto="1"/>
      </left>
      <right style="medium">
        <color theme="7" tint="-0.24994659260841701"/>
      </right>
      <top style="thin">
        <color auto="1"/>
      </top>
      <bottom style="thin">
        <color auto="1"/>
      </bottom>
      <diagonal/>
    </border>
    <border>
      <left style="medium">
        <color theme="7" tint="-0.24994659260841701"/>
      </left>
      <right style="thin">
        <color auto="1"/>
      </right>
      <top style="thin">
        <color auto="1"/>
      </top>
      <bottom style="medium">
        <color theme="7" tint="-0.24994659260841701"/>
      </bottom>
      <diagonal/>
    </border>
    <border>
      <left style="thin">
        <color auto="1"/>
      </left>
      <right style="medium">
        <color theme="7" tint="-0.24994659260841701"/>
      </right>
      <top style="thin">
        <color auto="1"/>
      </top>
      <bottom style="medium">
        <color theme="7" tint="-0.24994659260841701"/>
      </bottom>
      <diagonal/>
    </border>
    <border>
      <left/>
      <right style="medium">
        <color theme="7" tint="-0.24994659260841701"/>
      </right>
      <top style="thin">
        <color auto="1"/>
      </top>
      <bottom style="medium">
        <color theme="7" tint="-0.24994659260841701"/>
      </bottom>
      <diagonal/>
    </border>
  </borders>
  <cellStyleXfs count="51">
    <xf numFmtId="0" fontId="0" fillId="0" borderId="0"/>
    <xf numFmtId="164" fontId="5" fillId="0" borderId="0" applyFont="0" applyFill="0" applyBorder="0" applyAlignment="0" applyProtection="0"/>
    <xf numFmtId="0" fontId="11" fillId="0" borderId="0" applyNumberFormat="0" applyFill="0" applyBorder="0" applyAlignment="0" applyProtection="0"/>
    <xf numFmtId="9" fontId="5" fillId="0" borderId="0" applyFont="0" applyFill="0" applyBorder="0" applyAlignment="0" applyProtection="0"/>
    <xf numFmtId="0" fontId="37" fillId="0" borderId="0"/>
    <xf numFmtId="0" fontId="38" fillId="0" borderId="0"/>
    <xf numFmtId="0" fontId="41" fillId="18"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4" borderId="0" applyNumberFormat="0" applyBorder="0" applyAlignment="0" applyProtection="0"/>
    <xf numFmtId="0" fontId="41" fillId="38"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5" borderId="0" applyNumberFormat="0" applyBorder="0" applyAlignment="0" applyProtection="0"/>
    <xf numFmtId="0" fontId="41" fillId="39"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1" fillId="36" borderId="0" applyNumberFormat="0" applyBorder="0" applyAlignment="0" applyProtection="0"/>
    <xf numFmtId="0" fontId="41" fillId="40"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25" borderId="0" applyNumberFormat="0" applyBorder="0" applyAlignment="0" applyProtection="0"/>
    <xf numFmtId="0" fontId="42" fillId="29" borderId="0" applyNumberFormat="0" applyBorder="0" applyAlignment="0" applyProtection="0"/>
    <xf numFmtId="0" fontId="42" fillId="33" borderId="0" applyNumberFormat="0" applyBorder="0" applyAlignment="0" applyProtection="0"/>
    <xf numFmtId="0" fontId="42" fillId="37" borderId="0" applyNumberFormat="0" applyBorder="0" applyAlignment="0" applyProtection="0"/>
    <xf numFmtId="0" fontId="43" fillId="13" borderId="0" applyNumberFormat="0" applyBorder="0" applyAlignment="0" applyProtection="0"/>
    <xf numFmtId="0" fontId="39" fillId="41" borderId="28" applyNumberFormat="0" applyAlignment="0" applyProtection="0"/>
    <xf numFmtId="0" fontId="44" fillId="42" borderId="29" applyNumberFormat="0" applyProtection="0">
      <alignment vertical="center"/>
    </xf>
    <xf numFmtId="0" fontId="45" fillId="15" borderId="26" applyNumberFormat="0" applyAlignment="0" applyProtection="0"/>
    <xf numFmtId="164" fontId="38" fillId="0" borderId="0" applyFont="0" applyFill="0" applyBorder="0" applyAlignment="0" applyProtection="0"/>
    <xf numFmtId="164" fontId="38"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12" borderId="0" applyNumberFormat="0" applyBorder="0" applyAlignment="0" applyProtection="0"/>
    <xf numFmtId="0" fontId="40" fillId="0" borderId="0" applyNumberFormat="0" applyFill="0" applyBorder="0" applyAlignment="0" applyProtection="0">
      <alignment vertical="top"/>
      <protection locked="0"/>
    </xf>
    <xf numFmtId="0" fontId="39" fillId="43" borderId="25" applyNumberFormat="0" applyBorder="0" applyAlignment="0" applyProtection="0"/>
    <xf numFmtId="0" fontId="39" fillId="44" borderId="0">
      <alignment vertical="center"/>
    </xf>
    <xf numFmtId="0" fontId="39" fillId="45" borderId="30" applyNumberFormat="0" applyAlignment="0" applyProtection="0"/>
    <xf numFmtId="0" fontId="49" fillId="14" borderId="0" applyNumberFormat="0" applyBorder="0" applyAlignment="0" applyProtection="0"/>
    <xf numFmtId="0" fontId="50" fillId="0" borderId="0"/>
    <xf numFmtId="0" fontId="38" fillId="16" borderId="27" applyNumberFormat="0" applyFont="0" applyAlignment="0" applyProtection="0"/>
    <xf numFmtId="0" fontId="51" fillId="46" borderId="31" applyNumberFormat="0" applyAlignment="0" applyProtection="0"/>
    <xf numFmtId="9" fontId="50" fillId="0" borderId="0" applyFont="0" applyFill="0" applyBorder="0" applyAlignment="0" applyProtection="0"/>
    <xf numFmtId="0" fontId="39" fillId="47" borderId="32" applyNumberFormat="0" applyProtection="0">
      <alignment vertical="center"/>
    </xf>
    <xf numFmtId="0" fontId="52" fillId="0" borderId="0" applyNumberFormat="0" applyFill="0" applyBorder="0" applyAlignment="0" applyProtection="0"/>
    <xf numFmtId="0" fontId="51" fillId="48" borderId="0" applyNumberFormat="0" applyBorder="0" applyAlignment="0" applyProtection="0"/>
  </cellStyleXfs>
  <cellXfs count="581">
    <xf numFmtId="0" fontId="0" fillId="0" borderId="0" xfId="0"/>
    <xf numFmtId="0" fontId="2" fillId="0" borderId="0" xfId="0" applyFont="1"/>
    <xf numFmtId="0" fontId="4" fillId="0" borderId="0" xfId="0" applyFont="1"/>
    <xf numFmtId="0" fontId="0" fillId="0" borderId="0" xfId="0" applyAlignment="1">
      <alignment horizontal="left" wrapText="1"/>
    </xf>
    <xf numFmtId="0" fontId="9" fillId="0" borderId="0" xfId="0" applyFont="1" applyAlignment="1">
      <alignment horizontal="center"/>
    </xf>
    <xf numFmtId="164" fontId="0" fillId="0" borderId="0" xfId="1" applyFont="1" applyFill="1" applyBorder="1"/>
    <xf numFmtId="0" fontId="10" fillId="0" borderId="0" xfId="0" applyFont="1"/>
    <xf numFmtId="0" fontId="0" fillId="0" borderId="0" xfId="0" applyAlignment="1">
      <alignment horizontal="center"/>
    </xf>
    <xf numFmtId="0" fontId="0" fillId="0" borderId="1" xfId="0" applyBorder="1" applyAlignment="1">
      <alignment horizontal="center" vertical="center"/>
    </xf>
    <xf numFmtId="0" fontId="15" fillId="0" borderId="0" xfId="0" applyFont="1" applyAlignment="1">
      <alignment horizontal="left" vertical="top" wrapText="1"/>
    </xf>
    <xf numFmtId="0" fontId="4" fillId="0" borderId="0" xfId="0" applyFont="1" applyAlignment="1">
      <alignment vertical="center"/>
    </xf>
    <xf numFmtId="0" fontId="0" fillId="5" borderId="0" xfId="0" applyFill="1"/>
    <xf numFmtId="0" fontId="0" fillId="6" borderId="0" xfId="0" applyFill="1"/>
    <xf numFmtId="0" fontId="17" fillId="0" borderId="0" xfId="0" applyFont="1" applyAlignment="1">
      <alignment horizontal="right"/>
    </xf>
    <xf numFmtId="0" fontId="0" fillId="2" borderId="0" xfId="0" applyFill="1"/>
    <xf numFmtId="0" fontId="17" fillId="0" borderId="0" xfId="0" applyFont="1" applyAlignment="1">
      <alignment horizontal="left"/>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7" fillId="2" borderId="0" xfId="0" applyFont="1" applyFill="1"/>
    <xf numFmtId="0" fontId="0" fillId="2" borderId="0" xfId="0" applyFill="1" applyAlignment="1">
      <alignment horizontal="left" vertical="top" wrapText="1"/>
    </xf>
    <xf numFmtId="0" fontId="18" fillId="0" borderId="0" xfId="0" applyFont="1"/>
    <xf numFmtId="0" fontId="8" fillId="5" borderId="0" xfId="0" applyFont="1" applyFill="1" applyAlignment="1">
      <alignment horizontal="right"/>
    </xf>
    <xf numFmtId="164" fontId="0" fillId="5" borderId="0" xfId="0" applyNumberFormat="1" applyFill="1"/>
    <xf numFmtId="0" fontId="9" fillId="5" borderId="0" xfId="0" applyFont="1" applyFill="1" applyAlignment="1">
      <alignment horizontal="center"/>
    </xf>
    <xf numFmtId="0" fontId="17" fillId="0" borderId="0" xfId="0" applyFont="1" applyAlignment="1">
      <alignment horizontal="center"/>
    </xf>
    <xf numFmtId="0" fontId="19" fillId="0" borderId="0" xfId="0" applyFont="1"/>
    <xf numFmtId="0" fontId="23" fillId="6" borderId="0" xfId="0" applyFont="1" applyFill="1"/>
    <xf numFmtId="0" fontId="0" fillId="0" borderId="0" xfId="0" applyAlignment="1">
      <alignment horizontal="center" vertical="center"/>
    </xf>
    <xf numFmtId="0" fontId="15" fillId="0" borderId="0" xfId="0" applyFont="1" applyAlignment="1">
      <alignment horizontal="left" wrapText="1"/>
    </xf>
    <xf numFmtId="0" fontId="15" fillId="0" borderId="0" xfId="0" applyFont="1"/>
    <xf numFmtId="0" fontId="24" fillId="0" borderId="0" xfId="2" applyFont="1" applyFill="1" applyBorder="1" applyAlignment="1">
      <alignment horizontal="center"/>
    </xf>
    <xf numFmtId="0" fontId="25" fillId="0" borderId="0" xfId="0" applyFont="1"/>
    <xf numFmtId="0" fontId="28" fillId="0" borderId="0" xfId="0" applyFont="1" applyAlignment="1">
      <alignment horizontal="left" wrapText="1"/>
    </xf>
    <xf numFmtId="0" fontId="28" fillId="0" borderId="0" xfId="0" applyFont="1" applyAlignment="1">
      <alignment wrapText="1"/>
    </xf>
    <xf numFmtId="0" fontId="33" fillId="0" borderId="0" xfId="0" applyFont="1" applyAlignment="1">
      <alignment horizontal="right" vertical="center"/>
    </xf>
    <xf numFmtId="0" fontId="17" fillId="0" borderId="0" xfId="0" applyFont="1" applyAlignment="1">
      <alignment horizontal="center" vertical="top" wrapText="1"/>
    </xf>
    <xf numFmtId="0" fontId="35" fillId="0" borderId="0" xfId="0" applyFont="1"/>
    <xf numFmtId="0" fontId="22" fillId="0" borderId="0" xfId="0" applyFont="1" applyAlignment="1">
      <alignment horizontal="right"/>
    </xf>
    <xf numFmtId="0" fontId="0" fillId="0" borderId="0" xfId="0" applyProtection="1">
      <protection locked="0"/>
    </xf>
    <xf numFmtId="9" fontId="0" fillId="0" borderId="0" xfId="0" applyNumberFormat="1"/>
    <xf numFmtId="0" fontId="17" fillId="0" borderId="0" xfId="0" applyFont="1" applyAlignment="1" applyProtection="1">
      <alignment horizontal="center"/>
      <protection locked="0"/>
    </xf>
    <xf numFmtId="49" fontId="0" fillId="0" borderId="0" xfId="0" applyNumberFormat="1" applyProtection="1">
      <protection locked="0"/>
    </xf>
    <xf numFmtId="0" fontId="19" fillId="0" borderId="0" xfId="0" applyFont="1" applyProtection="1">
      <protection locked="0"/>
    </xf>
    <xf numFmtId="0" fontId="0" fillId="2" borderId="0" xfId="0" applyFill="1" applyAlignment="1">
      <alignment horizontal="left" vertical="center"/>
    </xf>
    <xf numFmtId="0" fontId="0" fillId="0" borderId="0" xfId="0" applyAlignment="1">
      <alignment horizontal="right"/>
    </xf>
    <xf numFmtId="0" fontId="17" fillId="0" borderId="0" xfId="0" applyFont="1" applyAlignment="1">
      <alignment horizontal="center" vertical="center"/>
    </xf>
    <xf numFmtId="0" fontId="56" fillId="0" borderId="0" xfId="0" applyFont="1"/>
    <xf numFmtId="0" fontId="11" fillId="0" borderId="0" xfId="2"/>
    <xf numFmtId="0" fontId="59" fillId="0" borderId="0" xfId="0" applyFont="1" applyProtection="1">
      <protection locked="0"/>
    </xf>
    <xf numFmtId="0" fontId="0" fillId="5" borderId="0" xfId="0" applyFill="1" applyAlignment="1">
      <alignment horizontal="center" vertical="center"/>
    </xf>
    <xf numFmtId="0" fontId="23" fillId="6" borderId="0" xfId="0" applyFont="1" applyFill="1" applyAlignment="1">
      <alignment horizontal="center" vertical="center"/>
    </xf>
    <xf numFmtId="0" fontId="36" fillId="0" borderId="0" xfId="0" applyFont="1" applyAlignment="1">
      <alignment horizontal="center" vertical="center"/>
    </xf>
    <xf numFmtId="0" fontId="36" fillId="0" borderId="0" xfId="0" applyFont="1" applyAlignment="1" applyProtection="1">
      <alignment horizontal="center" vertical="center"/>
      <protection locked="0"/>
    </xf>
    <xf numFmtId="0" fontId="0" fillId="0" borderId="0" xfId="0" applyAlignment="1">
      <alignment horizontal="center" vertical="center" wrapText="1"/>
    </xf>
    <xf numFmtId="0" fontId="10" fillId="0" borderId="0" xfId="0" applyFont="1" applyAlignment="1">
      <alignment horizontal="center" vertical="center"/>
    </xf>
    <xf numFmtId="0" fontId="0" fillId="6" borderId="0" xfId="0" applyFill="1" applyAlignment="1">
      <alignment horizontal="center" vertical="center"/>
    </xf>
    <xf numFmtId="0" fontId="0" fillId="2" borderId="0" xfId="0" applyFill="1" applyAlignment="1">
      <alignment horizontal="left" vertical="center" wrapText="1"/>
    </xf>
    <xf numFmtId="0" fontId="0" fillId="2" borderId="0" xfId="0" applyFill="1" applyAlignment="1">
      <alignment horizontal="center" vertical="center"/>
    </xf>
    <xf numFmtId="0" fontId="4" fillId="0" borderId="19" xfId="0" applyFont="1" applyBorder="1"/>
    <xf numFmtId="0" fontId="0" fillId="0" borderId="19" xfId="0" applyBorder="1"/>
    <xf numFmtId="0" fontId="0" fillId="0" borderId="19" xfId="0" applyBorder="1" applyAlignment="1">
      <alignment horizontal="center"/>
    </xf>
    <xf numFmtId="0" fontId="0" fillId="0" borderId="0" xfId="0" applyAlignment="1">
      <alignment horizontal="left"/>
    </xf>
    <xf numFmtId="0" fontId="62" fillId="0" borderId="0" xfId="0" applyFont="1" applyAlignment="1">
      <alignment horizontal="center"/>
    </xf>
    <xf numFmtId="0" fontId="61" fillId="0" borderId="0" xfId="0" applyFont="1" applyAlignment="1">
      <alignment horizontal="center"/>
    </xf>
    <xf numFmtId="0" fontId="67" fillId="2" borderId="0" xfId="0" applyFont="1" applyFill="1" applyAlignment="1">
      <alignment horizontal="center" vertical="center" wrapText="1"/>
    </xf>
    <xf numFmtId="0" fontId="67" fillId="2" borderId="0" xfId="0" applyFont="1" applyFill="1" applyAlignment="1">
      <alignment vertical="center" wrapText="1"/>
    </xf>
    <xf numFmtId="0" fontId="0" fillId="0" borderId="0" xfId="0" applyAlignment="1">
      <alignment vertical="center"/>
    </xf>
    <xf numFmtId="0" fontId="60"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0" fillId="0" borderId="0" xfId="0" applyAlignment="1" applyProtection="1">
      <alignment vertical="center"/>
      <protection locked="0"/>
    </xf>
    <xf numFmtId="164" fontId="0" fillId="0" borderId="0" xfId="1" applyFont="1" applyFill="1" applyBorder="1" applyProtection="1">
      <protection locked="0"/>
    </xf>
    <xf numFmtId="0" fontId="58" fillId="9" borderId="0" xfId="0" applyFont="1" applyFill="1" applyAlignment="1">
      <alignment horizontal="center" vertical="center"/>
    </xf>
    <xf numFmtId="0" fontId="0" fillId="5" borderId="0" xfId="0" applyFill="1" applyAlignment="1">
      <alignment horizontal="center"/>
    </xf>
    <xf numFmtId="0" fontId="0" fillId="6" borderId="0" xfId="0" applyFill="1" applyAlignment="1">
      <alignment horizontal="center"/>
    </xf>
    <xf numFmtId="0" fontId="0" fillId="2" borderId="0" xfId="0" applyFill="1" applyAlignment="1">
      <alignment horizontal="center" vertical="center" wrapText="1"/>
    </xf>
    <xf numFmtId="49" fontId="0" fillId="0" borderId="0" xfId="0" applyNumberFormat="1" applyAlignment="1">
      <alignment horizontal="center" vertical="center"/>
    </xf>
    <xf numFmtId="0" fontId="0" fillId="49" borderId="0" xfId="0" applyFill="1"/>
    <xf numFmtId="0" fontId="0" fillId="9" borderId="0" xfId="0" applyFill="1"/>
    <xf numFmtId="0" fontId="71" fillId="49" borderId="0" xfId="0" applyFont="1" applyFill="1" applyAlignment="1">
      <alignment horizontal="center"/>
    </xf>
    <xf numFmtId="0" fontId="72" fillId="9" borderId="1" xfId="0" applyFont="1" applyFill="1" applyBorder="1" applyAlignment="1">
      <alignment horizontal="center"/>
    </xf>
    <xf numFmtId="0" fontId="57" fillId="49" borderId="0" xfId="0" applyFont="1" applyFill="1" applyAlignment="1">
      <alignment horizontal="center"/>
    </xf>
    <xf numFmtId="166" fontId="72" fillId="9" borderId="1" xfId="1" applyNumberFormat="1" applyFont="1" applyFill="1" applyBorder="1" applyAlignment="1">
      <alignment horizontal="center"/>
    </xf>
    <xf numFmtId="0" fontId="71" fillId="49" borderId="0" xfId="0" applyFont="1" applyFill="1" applyAlignment="1">
      <alignment horizontal="center" textRotation="90" wrapText="1"/>
    </xf>
    <xf numFmtId="170" fontId="72" fillId="50" borderId="1" xfId="0" applyNumberFormat="1" applyFont="1" applyFill="1" applyBorder="1" applyAlignment="1">
      <alignment horizontal="center" vertical="center"/>
    </xf>
    <xf numFmtId="4" fontId="72" fillId="9" borderId="1" xfId="0" applyNumberFormat="1" applyFont="1" applyFill="1" applyBorder="1" applyAlignment="1">
      <alignment horizontal="center"/>
    </xf>
    <xf numFmtId="175" fontId="72" fillId="9" borderId="1" xfId="0" applyNumberFormat="1" applyFont="1" applyFill="1" applyBorder="1" applyAlignment="1">
      <alignment horizontal="center"/>
    </xf>
    <xf numFmtId="3" fontId="72" fillId="9" borderId="1" xfId="0" applyNumberFormat="1" applyFont="1" applyFill="1" applyBorder="1" applyAlignment="1">
      <alignment horizontal="center"/>
    </xf>
    <xf numFmtId="176" fontId="72" fillId="9" borderId="1" xfId="0" applyNumberFormat="1" applyFont="1" applyFill="1" applyBorder="1" applyAlignment="1">
      <alignment horizontal="center"/>
    </xf>
    <xf numFmtId="165" fontId="72" fillId="9" borderId="1" xfId="0" applyNumberFormat="1" applyFont="1" applyFill="1" applyBorder="1" applyAlignment="1">
      <alignment horizontal="center"/>
    </xf>
    <xf numFmtId="177" fontId="72" fillId="9" borderId="1" xfId="0" applyNumberFormat="1" applyFont="1" applyFill="1" applyBorder="1" applyAlignment="1">
      <alignment horizontal="center"/>
    </xf>
    <xf numFmtId="178" fontId="72" fillId="9" borderId="1" xfId="0" applyNumberFormat="1" applyFont="1" applyFill="1" applyBorder="1" applyAlignment="1">
      <alignment horizontal="center"/>
    </xf>
    <xf numFmtId="171" fontId="72" fillId="9" borderId="1" xfId="0" applyNumberFormat="1" applyFont="1" applyFill="1" applyBorder="1" applyAlignment="1">
      <alignment horizontal="center"/>
    </xf>
    <xf numFmtId="168" fontId="72" fillId="9" borderId="1" xfId="0" applyNumberFormat="1" applyFont="1" applyFill="1" applyBorder="1" applyAlignment="1">
      <alignment horizontal="center"/>
    </xf>
    <xf numFmtId="173" fontId="72" fillId="9" borderId="1" xfId="0" applyNumberFormat="1" applyFont="1" applyFill="1" applyBorder="1" applyAlignment="1">
      <alignment horizontal="center"/>
    </xf>
    <xf numFmtId="1" fontId="72" fillId="9" borderId="1" xfId="0" applyNumberFormat="1" applyFont="1" applyFill="1" applyBorder="1" applyAlignment="1">
      <alignment horizontal="center"/>
    </xf>
    <xf numFmtId="2" fontId="72" fillId="9" borderId="1" xfId="0" applyNumberFormat="1" applyFont="1" applyFill="1" applyBorder="1" applyAlignment="1">
      <alignment horizontal="center"/>
    </xf>
    <xf numFmtId="170" fontId="72" fillId="9" borderId="1" xfId="0" applyNumberFormat="1" applyFont="1" applyFill="1" applyBorder="1" applyAlignment="1">
      <alignment horizontal="center"/>
    </xf>
    <xf numFmtId="172" fontId="72" fillId="9" borderId="1" xfId="0" applyNumberFormat="1" applyFont="1" applyFill="1" applyBorder="1" applyAlignment="1">
      <alignment horizontal="center"/>
    </xf>
    <xf numFmtId="179" fontId="72" fillId="9" borderId="1" xfId="0" applyNumberFormat="1" applyFont="1" applyFill="1" applyBorder="1" applyAlignment="1">
      <alignment horizontal="center"/>
    </xf>
    <xf numFmtId="174" fontId="72" fillId="9" borderId="1" xfId="0" applyNumberFormat="1" applyFont="1" applyFill="1" applyBorder="1" applyAlignment="1">
      <alignment horizontal="center"/>
    </xf>
    <xf numFmtId="0" fontId="76" fillId="9" borderId="1" xfId="0" applyFont="1" applyFill="1" applyBorder="1" applyAlignment="1">
      <alignment horizontal="center" vertical="center" wrapText="1"/>
    </xf>
    <xf numFmtId="0" fontId="76" fillId="9" borderId="1" xfId="0" applyFont="1" applyFill="1" applyBorder="1" applyAlignment="1">
      <alignment horizontal="center" vertical="center"/>
    </xf>
    <xf numFmtId="1" fontId="76" fillId="9" borderId="1" xfId="0" applyNumberFormat="1" applyFont="1" applyFill="1" applyBorder="1" applyAlignment="1">
      <alignment horizontal="center"/>
    </xf>
    <xf numFmtId="2" fontId="76" fillId="9" borderId="1" xfId="0" applyNumberFormat="1" applyFont="1" applyFill="1" applyBorder="1" applyAlignment="1">
      <alignment horizontal="center"/>
    </xf>
    <xf numFmtId="2" fontId="76" fillId="50" borderId="1" xfId="1" applyNumberFormat="1" applyFont="1" applyFill="1" applyBorder="1" applyAlignment="1">
      <alignment horizontal="center"/>
    </xf>
    <xf numFmtId="3" fontId="76" fillId="50" borderId="1" xfId="1" applyNumberFormat="1" applyFont="1" applyFill="1" applyBorder="1" applyAlignment="1">
      <alignment horizontal="center" vertical="center"/>
    </xf>
    <xf numFmtId="2" fontId="76" fillId="9" borderId="1" xfId="1" applyNumberFormat="1" applyFont="1" applyFill="1" applyBorder="1" applyAlignment="1">
      <alignment horizontal="center"/>
    </xf>
    <xf numFmtId="3" fontId="76" fillId="9" borderId="1" xfId="1" applyNumberFormat="1" applyFont="1" applyFill="1" applyBorder="1" applyAlignment="1">
      <alignment horizontal="center" vertical="center"/>
    </xf>
    <xf numFmtId="0" fontId="74" fillId="49" borderId="0" xfId="0" applyFont="1" applyFill="1" applyAlignment="1">
      <alignment horizontal="center" vertical="center" wrapText="1"/>
    </xf>
    <xf numFmtId="1" fontId="74" fillId="49" borderId="0" xfId="0" applyNumberFormat="1" applyFont="1" applyFill="1" applyAlignment="1">
      <alignment horizontal="center" vertical="center" wrapText="1"/>
    </xf>
    <xf numFmtId="2" fontId="71" fillId="49" borderId="0" xfId="0" applyNumberFormat="1" applyFont="1" applyFill="1" applyAlignment="1">
      <alignment horizontal="center"/>
    </xf>
    <xf numFmtId="174" fontId="71" fillId="49" borderId="0" xfId="0" applyNumberFormat="1" applyFont="1" applyFill="1" applyAlignment="1">
      <alignment horizontal="center"/>
    </xf>
    <xf numFmtId="1" fontId="71" fillId="49" borderId="0" xfId="0" applyNumberFormat="1" applyFont="1" applyFill="1" applyAlignment="1">
      <alignment horizontal="center"/>
    </xf>
    <xf numFmtId="2" fontId="76" fillId="9" borderId="1" xfId="0" applyNumberFormat="1" applyFont="1" applyFill="1" applyBorder="1" applyAlignment="1">
      <alignment horizontal="center" vertical="center"/>
    </xf>
    <xf numFmtId="4" fontId="76" fillId="9" borderId="1" xfId="1" applyNumberFormat="1" applyFont="1" applyFill="1" applyBorder="1" applyAlignment="1">
      <alignment horizontal="center"/>
    </xf>
    <xf numFmtId="0" fontId="39" fillId="49" borderId="0" xfId="0" applyFont="1" applyFill="1" applyAlignment="1">
      <alignment horizontal="center"/>
    </xf>
    <xf numFmtId="170" fontId="76" fillId="9" borderId="1" xfId="1" applyNumberFormat="1" applyFont="1" applyFill="1" applyBorder="1" applyAlignment="1">
      <alignment horizontal="center"/>
    </xf>
    <xf numFmtId="2" fontId="76" fillId="50" borderId="1" xfId="0" applyNumberFormat="1" applyFont="1" applyFill="1" applyBorder="1" applyAlignment="1">
      <alignment horizontal="center"/>
    </xf>
    <xf numFmtId="166" fontId="71" fillId="49" borderId="0" xfId="1" applyNumberFormat="1" applyFont="1" applyFill="1" applyAlignment="1">
      <alignment horizontal="center"/>
    </xf>
    <xf numFmtId="166" fontId="76" fillId="9" borderId="1" xfId="1" applyNumberFormat="1" applyFont="1" applyFill="1" applyBorder="1" applyAlignment="1">
      <alignment horizontal="center" vertical="center"/>
    </xf>
    <xf numFmtId="0" fontId="71" fillId="49" borderId="0" xfId="0" applyFont="1" applyFill="1" applyAlignment="1">
      <alignment horizontal="center" wrapText="1"/>
    </xf>
    <xf numFmtId="0" fontId="72" fillId="9" borderId="1" xfId="0" applyFont="1" applyFill="1" applyBorder="1" applyAlignment="1">
      <alignment horizontal="center" wrapText="1"/>
    </xf>
    <xf numFmtId="0" fontId="73" fillId="49" borderId="0" xfId="0" applyFont="1" applyFill="1" applyAlignment="1">
      <alignment horizontal="center" wrapText="1"/>
    </xf>
    <xf numFmtId="0" fontId="74" fillId="49" borderId="0" xfId="0" applyFont="1" applyFill="1" applyAlignment="1">
      <alignment horizontal="center" wrapText="1"/>
    </xf>
    <xf numFmtId="0" fontId="57" fillId="49" borderId="0" xfId="0" applyFont="1" applyFill="1" applyAlignment="1">
      <alignment horizontal="center" wrapText="1"/>
    </xf>
    <xf numFmtId="9" fontId="0" fillId="0" borderId="0" xfId="3" applyFont="1" applyBorder="1" applyAlignment="1" applyProtection="1">
      <alignment horizontal="center"/>
      <protection locked="0"/>
    </xf>
    <xf numFmtId="0" fontId="4" fillId="9" borderId="1" xfId="0" applyFont="1" applyFill="1" applyBorder="1" applyAlignment="1">
      <alignment horizontal="center" vertical="center"/>
    </xf>
    <xf numFmtId="0" fontId="0" fillId="9" borderId="1" xfId="0" applyFill="1" applyBorder="1" applyAlignment="1">
      <alignment horizontal="center" vertical="center"/>
    </xf>
    <xf numFmtId="1" fontId="4" fillId="9" borderId="1" xfId="0" applyNumberFormat="1" applyFont="1" applyFill="1" applyBorder="1" applyAlignment="1">
      <alignment horizontal="center" vertical="center"/>
    </xf>
    <xf numFmtId="0" fontId="26" fillId="9" borderId="1" xfId="0" applyFont="1" applyFill="1" applyBorder="1" applyAlignment="1">
      <alignment horizontal="center" vertical="center" wrapText="1"/>
    </xf>
    <xf numFmtId="0" fontId="0" fillId="7" borderId="1" xfId="0" applyFill="1" applyBorder="1" applyAlignment="1" applyProtection="1">
      <alignment horizontal="center" vertical="center"/>
      <protection locked="0"/>
    </xf>
    <xf numFmtId="0" fontId="10" fillId="0" borderId="0" xfId="0" applyFont="1" applyAlignment="1">
      <alignment horizontal="center"/>
    </xf>
    <xf numFmtId="0" fontId="0" fillId="9" borderId="0" xfId="0" applyFill="1" applyAlignment="1">
      <alignment horizontal="center"/>
    </xf>
    <xf numFmtId="0" fontId="26" fillId="0" borderId="1" xfId="0" applyFont="1" applyBorder="1" applyAlignment="1">
      <alignment horizontal="center" vertical="center"/>
    </xf>
    <xf numFmtId="0" fontId="26" fillId="0" borderId="0" xfId="0" applyFont="1"/>
    <xf numFmtId="176" fontId="0" fillId="0" borderId="1" xfId="0" applyNumberFormat="1" applyBorder="1" applyAlignment="1">
      <alignment horizontal="center" vertical="center"/>
    </xf>
    <xf numFmtId="0" fontId="0" fillId="2" borderId="54" xfId="0" applyFill="1" applyBorder="1" applyProtection="1">
      <protection locked="0"/>
    </xf>
    <xf numFmtId="0" fontId="28" fillId="0" borderId="0" xfId="0" applyFont="1" applyAlignment="1">
      <alignment horizontal="center" wrapText="1"/>
    </xf>
    <xf numFmtId="0" fontId="15" fillId="0" borderId="0" xfId="0" applyFont="1" applyAlignment="1">
      <alignment horizontal="center" wrapText="1"/>
    </xf>
    <xf numFmtId="0" fontId="10" fillId="0" borderId="0" xfId="0" applyFont="1" applyAlignment="1" applyProtection="1">
      <alignment horizontal="center"/>
      <protection locked="0"/>
    </xf>
    <xf numFmtId="0" fontId="66" fillId="0" borderId="0" xfId="0" applyFont="1"/>
    <xf numFmtId="178" fontId="0" fillId="0" borderId="1" xfId="0" applyNumberFormat="1" applyBorder="1" applyAlignment="1">
      <alignment horizontal="center" vertical="center"/>
    </xf>
    <xf numFmtId="167" fontId="0" fillId="7" borderId="2" xfId="0" applyNumberFormat="1" applyFill="1" applyBorder="1" applyAlignment="1" applyProtection="1">
      <alignment horizontal="center" vertical="center"/>
      <protection locked="0"/>
    </xf>
    <xf numFmtId="167" fontId="0" fillId="4" borderId="1" xfId="1" applyNumberFormat="1" applyFont="1" applyFill="1" applyBorder="1" applyAlignment="1" applyProtection="1">
      <alignment horizontal="center" vertical="center"/>
      <protection locked="0"/>
    </xf>
    <xf numFmtId="167" fontId="0" fillId="4" borderId="1" xfId="0" applyNumberFormat="1" applyFill="1" applyBorder="1" applyAlignment="1" applyProtection="1">
      <alignment horizontal="center" vertical="center"/>
      <protection locked="0"/>
    </xf>
    <xf numFmtId="0" fontId="0" fillId="5" borderId="0" xfId="0" applyFill="1" applyAlignment="1">
      <alignment vertical="center"/>
    </xf>
    <xf numFmtId="0" fontId="0" fillId="6" borderId="0" xfId="0" applyFill="1" applyAlignment="1">
      <alignment vertical="center"/>
    </xf>
    <xf numFmtId="0" fontId="0" fillId="2" borderId="0" xfId="0" applyFill="1" applyAlignment="1">
      <alignment vertical="center"/>
    </xf>
    <xf numFmtId="0" fontId="0" fillId="2" borderId="0" xfId="0" applyFill="1" applyAlignment="1">
      <alignment horizontal="right" vertical="center" wrapText="1"/>
    </xf>
    <xf numFmtId="0" fontId="17" fillId="0" borderId="0" xfId="0" applyFont="1" applyAlignment="1" applyProtection="1">
      <alignment horizontal="left" vertical="center" indent="1"/>
      <protection locked="0"/>
    </xf>
    <xf numFmtId="0" fontId="0" fillId="2" borderId="0" xfId="0" applyFill="1" applyAlignment="1">
      <alignment horizontal="left" vertical="center" indent="1"/>
    </xf>
    <xf numFmtId="0" fontId="2" fillId="2" borderId="0" xfId="0" applyFont="1" applyFill="1" applyAlignment="1">
      <alignment horizontal="left" vertical="center" indent="1"/>
    </xf>
    <xf numFmtId="0" fontId="53" fillId="2" borderId="72" xfId="0" applyFont="1" applyFill="1" applyBorder="1" applyAlignment="1">
      <alignment horizontal="center" vertical="center"/>
    </xf>
    <xf numFmtId="0" fontId="53" fillId="2" borderId="69" xfId="0" applyFont="1" applyFill="1" applyBorder="1" applyAlignment="1">
      <alignment horizontal="center" vertical="center"/>
    </xf>
    <xf numFmtId="0" fontId="53" fillId="2" borderId="76" xfId="0" applyFont="1" applyFill="1" applyBorder="1" applyAlignment="1">
      <alignment horizontal="center" vertical="center"/>
    </xf>
    <xf numFmtId="0" fontId="0" fillId="9" borderId="54" xfId="0" applyFill="1" applyBorder="1" applyAlignment="1">
      <alignment horizontal="center"/>
    </xf>
    <xf numFmtId="0" fontId="0" fillId="9" borderId="54" xfId="0" applyFill="1" applyBorder="1" applyAlignment="1" applyProtection="1">
      <alignment horizontal="center"/>
      <protection locked="0"/>
    </xf>
    <xf numFmtId="0" fontId="66" fillId="9" borderId="54" xfId="0" applyFont="1" applyFill="1" applyBorder="1" applyAlignment="1" applyProtection="1">
      <alignment horizontal="center"/>
      <protection locked="0"/>
    </xf>
    <xf numFmtId="0" fontId="18" fillId="0" borderId="0" xfId="0" applyFont="1" applyAlignment="1">
      <alignment horizontal="left"/>
    </xf>
    <xf numFmtId="0" fontId="94" fillId="0" borderId="0" xfId="0" applyFont="1"/>
    <xf numFmtId="0" fontId="0" fillId="0" borderId="84" xfId="0" applyBorder="1"/>
    <xf numFmtId="0" fontId="0" fillId="0" borderId="84" xfId="0" applyBorder="1" applyAlignment="1">
      <alignment vertical="center"/>
    </xf>
    <xf numFmtId="0" fontId="0" fillId="0" borderId="84" xfId="0" applyBorder="1" applyAlignment="1">
      <alignment horizontal="center" vertical="center"/>
    </xf>
    <xf numFmtId="0" fontId="0" fillId="0" borderId="84" xfId="0" applyBorder="1" applyAlignment="1">
      <alignment vertical="center" wrapText="1"/>
    </xf>
    <xf numFmtId="0" fontId="0" fillId="0" borderId="84" xfId="0" applyBorder="1" applyAlignment="1">
      <alignment horizontal="center" vertical="center" wrapText="1"/>
    </xf>
    <xf numFmtId="167" fontId="0" fillId="7" borderId="84" xfId="0" applyNumberFormat="1" applyFill="1" applyBorder="1" applyAlignment="1" applyProtection="1">
      <alignment horizontal="center" vertical="center"/>
      <protection locked="0"/>
    </xf>
    <xf numFmtId="0" fontId="0" fillId="7" borderId="1" xfId="0" applyFill="1" applyBorder="1" applyAlignment="1" applyProtection="1">
      <alignment horizontal="center"/>
      <protection locked="0"/>
    </xf>
    <xf numFmtId="167" fontId="0" fillId="7" borderId="1" xfId="0" applyNumberFormat="1" applyFill="1" applyBorder="1" applyAlignment="1" applyProtection="1">
      <alignment horizontal="center" vertical="center"/>
      <protection locked="0"/>
    </xf>
    <xf numFmtId="0" fontId="17" fillId="0" borderId="85" xfId="0" applyFont="1" applyBorder="1" applyAlignment="1">
      <alignment horizontal="center"/>
    </xf>
    <xf numFmtId="0" fontId="0" fillId="7" borderId="85" xfId="0" applyFill="1" applyBorder="1" applyAlignment="1" applyProtection="1">
      <alignment horizontal="center"/>
      <protection locked="0"/>
    </xf>
    <xf numFmtId="0" fontId="0" fillId="7" borderId="85" xfId="0" applyFill="1" applyBorder="1" applyProtection="1">
      <protection locked="0"/>
    </xf>
    <xf numFmtId="167" fontId="0" fillId="7" borderId="85" xfId="0" applyNumberFormat="1" applyFill="1" applyBorder="1" applyAlignment="1" applyProtection="1">
      <alignment horizontal="center"/>
      <protection locked="0"/>
    </xf>
    <xf numFmtId="0" fontId="0" fillId="0" borderId="85" xfId="0" applyBorder="1" applyAlignment="1">
      <alignment horizontal="center" vertical="center"/>
    </xf>
    <xf numFmtId="0" fontId="17" fillId="0" borderId="86" xfId="0" applyFont="1" applyBorder="1" applyAlignment="1">
      <alignment horizontal="center"/>
    </xf>
    <xf numFmtId="0" fontId="0" fillId="7" borderId="86" xfId="0" applyFill="1" applyBorder="1" applyAlignment="1" applyProtection="1">
      <alignment horizontal="center"/>
      <protection locked="0"/>
    </xf>
    <xf numFmtId="0" fontId="0" fillId="7" borderId="86" xfId="0" applyFill="1" applyBorder="1" applyProtection="1">
      <protection locked="0"/>
    </xf>
    <xf numFmtId="167" fontId="0" fillId="7" borderId="86" xfId="0" applyNumberFormat="1" applyFill="1" applyBorder="1" applyAlignment="1" applyProtection="1">
      <alignment horizontal="center"/>
      <protection locked="0"/>
    </xf>
    <xf numFmtId="0" fontId="0" fillId="0" borderId="86" xfId="0" applyBorder="1" applyAlignment="1">
      <alignment horizontal="center" vertical="center"/>
    </xf>
    <xf numFmtId="0" fontId="17" fillId="0" borderId="87" xfId="0" applyFont="1" applyBorder="1" applyAlignment="1">
      <alignment horizontal="center"/>
    </xf>
    <xf numFmtId="0" fontId="0" fillId="7" borderId="87" xfId="0" applyFill="1" applyBorder="1" applyAlignment="1" applyProtection="1">
      <alignment horizontal="center"/>
      <protection locked="0"/>
    </xf>
    <xf numFmtId="0" fontId="0" fillId="7" borderId="87" xfId="0" applyFill="1" applyBorder="1" applyProtection="1">
      <protection locked="0"/>
    </xf>
    <xf numFmtId="167" fontId="0" fillId="7" borderId="87" xfId="0" applyNumberFormat="1" applyFill="1" applyBorder="1" applyAlignment="1" applyProtection="1">
      <alignment horizontal="center"/>
      <protection locked="0"/>
    </xf>
    <xf numFmtId="0" fontId="0" fillId="0" borderId="87" xfId="0" applyBorder="1" applyAlignment="1">
      <alignment horizontal="center" vertical="center"/>
    </xf>
    <xf numFmtId="167" fontId="0" fillId="7" borderId="54" xfId="0" applyNumberFormat="1" applyFill="1" applyBorder="1" applyAlignment="1" applyProtection="1">
      <alignment horizontal="center"/>
      <protection locked="0"/>
    </xf>
    <xf numFmtId="0" fontId="0" fillId="7" borderId="66" xfId="0" applyFill="1" applyBorder="1" applyProtection="1">
      <protection locked="0"/>
    </xf>
    <xf numFmtId="0" fontId="0" fillId="7" borderId="67" xfId="0" applyFill="1" applyBorder="1" applyProtection="1">
      <protection locked="0"/>
    </xf>
    <xf numFmtId="0" fontId="0" fillId="7" borderId="68" xfId="0" applyFill="1" applyBorder="1" applyProtection="1">
      <protection locked="0"/>
    </xf>
    <xf numFmtId="0" fontId="61" fillId="9" borderId="54" xfId="0" applyFont="1" applyFill="1" applyBorder="1" applyAlignment="1" applyProtection="1">
      <alignment horizontal="center"/>
      <protection locked="0"/>
    </xf>
    <xf numFmtId="0" fontId="61" fillId="9" borderId="70" xfId="0" applyFont="1" applyFill="1" applyBorder="1" applyAlignment="1" applyProtection="1">
      <alignment horizontal="center"/>
      <protection locked="0"/>
    </xf>
    <xf numFmtId="0" fontId="61" fillId="9" borderId="71" xfId="0" applyFont="1" applyFill="1" applyBorder="1" applyAlignment="1" applyProtection="1">
      <alignment horizontal="center"/>
      <protection locked="0"/>
    </xf>
    <xf numFmtId="167" fontId="53" fillId="7" borderId="85" xfId="1" applyNumberFormat="1" applyFont="1" applyFill="1" applyBorder="1" applyAlignment="1" applyProtection="1">
      <alignment horizontal="center" vertical="center"/>
      <protection locked="0"/>
    </xf>
    <xf numFmtId="167" fontId="88" fillId="9" borderId="85" xfId="1" applyNumberFormat="1" applyFont="1" applyFill="1" applyBorder="1" applyAlignment="1" applyProtection="1">
      <alignment horizontal="center" vertical="center"/>
      <protection locked="0"/>
    </xf>
    <xf numFmtId="167" fontId="53" fillId="7" borderId="88" xfId="1" applyNumberFormat="1" applyFont="1" applyFill="1" applyBorder="1" applyAlignment="1" applyProtection="1">
      <alignment horizontal="center" vertical="center"/>
      <protection locked="0"/>
    </xf>
    <xf numFmtId="0" fontId="88" fillId="9" borderId="89" xfId="0" applyFont="1" applyFill="1" applyBorder="1" applyAlignment="1" applyProtection="1">
      <alignment horizontal="center" vertical="center"/>
      <protection locked="0"/>
    </xf>
    <xf numFmtId="0" fontId="88" fillId="7" borderId="86" xfId="0" applyFont="1" applyFill="1" applyBorder="1" applyAlignment="1" applyProtection="1">
      <alignment horizontal="center"/>
      <protection locked="0"/>
    </xf>
    <xf numFmtId="167" fontId="53" fillId="7" borderId="86" xfId="1" applyNumberFormat="1" applyFont="1" applyFill="1" applyBorder="1" applyAlignment="1" applyProtection="1">
      <alignment horizontal="center" vertical="center"/>
      <protection locked="0"/>
    </xf>
    <xf numFmtId="167" fontId="88" fillId="9" borderId="86" xfId="1" applyNumberFormat="1" applyFont="1" applyFill="1" applyBorder="1" applyAlignment="1" applyProtection="1">
      <alignment horizontal="center" vertical="center"/>
      <protection locked="0"/>
    </xf>
    <xf numFmtId="167" fontId="53" fillId="7" borderId="90" xfId="1" applyNumberFormat="1" applyFont="1" applyFill="1" applyBorder="1" applyAlignment="1" applyProtection="1">
      <alignment horizontal="center" vertical="center"/>
      <protection locked="0"/>
    </xf>
    <xf numFmtId="0" fontId="88" fillId="9" borderId="86" xfId="0" applyFont="1" applyFill="1" applyBorder="1" applyAlignment="1" applyProtection="1">
      <alignment horizontal="center" vertical="center"/>
      <protection locked="0"/>
    </xf>
    <xf numFmtId="0" fontId="88" fillId="9" borderId="91" xfId="0" applyFont="1" applyFill="1" applyBorder="1" applyAlignment="1" applyProtection="1">
      <alignment horizontal="center" vertical="center"/>
      <protection locked="0"/>
    </xf>
    <xf numFmtId="167" fontId="88" fillId="2" borderId="86" xfId="1" applyNumberFormat="1" applyFont="1" applyFill="1" applyBorder="1" applyAlignment="1" applyProtection="1">
      <alignment horizontal="center" vertical="center"/>
      <protection locked="0"/>
    </xf>
    <xf numFmtId="0" fontId="88" fillId="7" borderId="87" xfId="0" applyFont="1" applyFill="1" applyBorder="1" applyAlignment="1" applyProtection="1">
      <alignment horizontal="center"/>
      <protection locked="0"/>
    </xf>
    <xf numFmtId="167" fontId="53" fillId="7" borderId="87" xfId="1" applyNumberFormat="1" applyFont="1" applyFill="1" applyBorder="1" applyAlignment="1" applyProtection="1">
      <alignment horizontal="center" vertical="center"/>
      <protection locked="0"/>
    </xf>
    <xf numFmtId="167" fontId="88" fillId="9" borderId="87" xfId="1" applyNumberFormat="1" applyFont="1" applyFill="1" applyBorder="1" applyAlignment="1" applyProtection="1">
      <alignment horizontal="center" vertical="center"/>
      <protection locked="0"/>
    </xf>
    <xf numFmtId="167" fontId="53" fillId="7" borderId="93" xfId="1" applyNumberFormat="1" applyFont="1" applyFill="1" applyBorder="1" applyAlignment="1" applyProtection="1">
      <alignment horizontal="center" vertical="center"/>
      <protection locked="0"/>
    </xf>
    <xf numFmtId="0" fontId="88" fillId="9" borderId="87" xfId="0" applyFont="1" applyFill="1" applyBorder="1" applyAlignment="1" applyProtection="1">
      <alignment horizontal="center" vertical="center"/>
      <protection locked="0"/>
    </xf>
    <xf numFmtId="167" fontId="0" fillId="7" borderId="85" xfId="0" applyNumberFormat="1" applyFill="1" applyBorder="1" applyAlignment="1" applyProtection="1">
      <alignment horizontal="center" vertical="center"/>
      <protection locked="0"/>
    </xf>
    <xf numFmtId="0" fontId="66" fillId="7" borderId="85" xfId="0" applyFont="1" applyFill="1" applyBorder="1" applyAlignment="1" applyProtection="1">
      <alignment horizontal="center" vertical="center"/>
      <protection locked="0"/>
    </xf>
    <xf numFmtId="167" fontId="0" fillId="7" borderId="86" xfId="0" applyNumberFormat="1" applyFill="1" applyBorder="1" applyAlignment="1" applyProtection="1">
      <alignment horizontal="center" vertical="center"/>
      <protection locked="0"/>
    </xf>
    <xf numFmtId="0" fontId="66" fillId="7" borderId="86" xfId="0" applyFont="1" applyFill="1" applyBorder="1" applyAlignment="1" applyProtection="1">
      <alignment horizontal="center" vertical="center"/>
      <protection locked="0"/>
    </xf>
    <xf numFmtId="167" fontId="0" fillId="7" borderId="87" xfId="0" applyNumberFormat="1" applyFill="1" applyBorder="1" applyAlignment="1" applyProtection="1">
      <alignment horizontal="center" vertical="center"/>
      <protection locked="0"/>
    </xf>
    <xf numFmtId="0" fontId="66" fillId="7" borderId="87" xfId="0" applyFont="1" applyFill="1" applyBorder="1" applyAlignment="1" applyProtection="1">
      <alignment horizontal="center" vertical="center"/>
      <protection locked="0"/>
    </xf>
    <xf numFmtId="0" fontId="0" fillId="9" borderId="94" xfId="0" applyFill="1" applyBorder="1" applyAlignment="1" applyProtection="1">
      <alignment vertical="center"/>
      <protection locked="0"/>
    </xf>
    <xf numFmtId="0" fontId="0" fillId="9" borderId="95" xfId="0" applyFill="1" applyBorder="1" applyAlignment="1" applyProtection="1">
      <alignment vertical="center"/>
      <protection locked="0"/>
    </xf>
    <xf numFmtId="0" fontId="0" fillId="9" borderId="96" xfId="0" applyFill="1" applyBorder="1" applyAlignment="1" applyProtection="1">
      <alignment vertical="center"/>
      <protection locked="0"/>
    </xf>
    <xf numFmtId="0" fontId="0" fillId="9" borderId="85" xfId="0" applyFill="1" applyBorder="1" applyAlignment="1" applyProtection="1">
      <alignment horizontal="left" vertical="center"/>
      <protection locked="0"/>
    </xf>
    <xf numFmtId="0" fontId="0" fillId="9" borderId="86" xfId="0" applyFill="1" applyBorder="1" applyAlignment="1" applyProtection="1">
      <alignment horizontal="left" vertical="center"/>
      <protection locked="0"/>
    </xf>
    <xf numFmtId="0" fontId="61" fillId="9" borderId="97" xfId="0" applyFont="1" applyFill="1" applyBorder="1" applyAlignment="1" applyProtection="1">
      <alignment horizontal="center"/>
      <protection locked="0"/>
    </xf>
    <xf numFmtId="0" fontId="61" fillId="9" borderId="85" xfId="0" applyFont="1" applyFill="1" applyBorder="1" applyAlignment="1" applyProtection="1">
      <alignment horizontal="center"/>
      <protection locked="0"/>
    </xf>
    <xf numFmtId="0" fontId="66" fillId="9" borderId="86" xfId="0" applyFont="1" applyFill="1" applyBorder="1" applyAlignment="1">
      <alignment horizontal="center"/>
    </xf>
    <xf numFmtId="0" fontId="66" fillId="9" borderId="86" xfId="0" applyFont="1" applyFill="1" applyBorder="1" applyAlignment="1" applyProtection="1">
      <alignment horizontal="center"/>
      <protection locked="0"/>
    </xf>
    <xf numFmtId="0" fontId="66" fillId="9" borderId="87" xfId="0" applyFont="1" applyFill="1" applyBorder="1" applyAlignment="1" applyProtection="1">
      <alignment horizontal="center"/>
      <protection locked="0"/>
    </xf>
    <xf numFmtId="0" fontId="66" fillId="9" borderId="94" xfId="0" applyFont="1" applyFill="1" applyBorder="1" applyAlignment="1" applyProtection="1">
      <alignment horizontal="center"/>
      <protection locked="0"/>
    </xf>
    <xf numFmtId="0" fontId="66" fillId="9" borderId="95" xfId="0" applyFont="1" applyFill="1" applyBorder="1" applyAlignment="1">
      <alignment horizontal="center"/>
    </xf>
    <xf numFmtId="0" fontId="66" fillId="9" borderId="96" xfId="0" applyFont="1" applyFill="1" applyBorder="1" applyAlignment="1" applyProtection="1">
      <alignment horizontal="center"/>
      <protection locked="0"/>
    </xf>
    <xf numFmtId="167" fontId="0" fillId="7" borderId="94" xfId="0" applyNumberFormat="1" applyFill="1" applyBorder="1" applyAlignment="1">
      <alignment horizontal="center" vertical="center"/>
    </xf>
    <xf numFmtId="167" fontId="0" fillId="7" borderId="95" xfId="0" applyNumberFormat="1" applyFill="1" applyBorder="1" applyAlignment="1">
      <alignment horizontal="center" vertical="center"/>
    </xf>
    <xf numFmtId="167" fontId="0" fillId="7" borderId="96" xfId="0" applyNumberFormat="1" applyFill="1" applyBorder="1" applyAlignment="1">
      <alignment horizontal="center" vertical="center"/>
    </xf>
    <xf numFmtId="167" fontId="0" fillId="7" borderId="86" xfId="0" applyNumberFormat="1" applyFill="1" applyBorder="1" applyAlignment="1">
      <alignment horizontal="center" vertical="center"/>
    </xf>
    <xf numFmtId="0" fontId="0" fillId="7" borderId="94" xfId="0" applyFill="1" applyBorder="1" applyAlignment="1" applyProtection="1">
      <alignment horizontal="center" vertical="center"/>
      <protection locked="0"/>
    </xf>
    <xf numFmtId="49" fontId="0" fillId="7" borderId="94" xfId="0" applyNumberFormat="1" applyFill="1" applyBorder="1" applyAlignment="1" applyProtection="1">
      <alignment horizontal="center"/>
      <protection locked="0"/>
    </xf>
    <xf numFmtId="167" fontId="0" fillId="7" borderId="94" xfId="1" applyNumberFormat="1" applyFont="1" applyFill="1" applyBorder="1" applyAlignment="1" applyProtection="1">
      <alignment horizontal="center" vertical="center"/>
      <protection locked="0"/>
    </xf>
    <xf numFmtId="0" fontId="0" fillId="7" borderId="94" xfId="0" applyFill="1" applyBorder="1" applyAlignment="1" applyProtection="1">
      <alignment horizontal="center"/>
      <protection locked="0"/>
    </xf>
    <xf numFmtId="0" fontId="0" fillId="7" borderId="95" xfId="0" applyFill="1" applyBorder="1" applyAlignment="1" applyProtection="1">
      <alignment horizontal="center" vertical="center"/>
      <protection locked="0"/>
    </xf>
    <xf numFmtId="49" fontId="0" fillId="7" borderId="95" xfId="0" applyNumberFormat="1" applyFill="1" applyBorder="1" applyAlignment="1" applyProtection="1">
      <alignment horizontal="center"/>
      <protection locked="0"/>
    </xf>
    <xf numFmtId="167" fontId="0" fillId="7" borderId="95" xfId="1" applyNumberFormat="1" applyFont="1" applyFill="1" applyBorder="1" applyAlignment="1" applyProtection="1">
      <alignment horizontal="center" vertical="center"/>
      <protection locked="0"/>
    </xf>
    <xf numFmtId="0" fontId="0" fillId="7" borderId="95" xfId="0" applyFill="1" applyBorder="1" applyAlignment="1" applyProtection="1">
      <alignment horizontal="center"/>
      <protection locked="0"/>
    </xf>
    <xf numFmtId="0" fontId="0" fillId="7" borderId="96" xfId="0" applyFill="1" applyBorder="1" applyAlignment="1" applyProtection="1">
      <alignment horizontal="center" vertical="center"/>
      <protection locked="0"/>
    </xf>
    <xf numFmtId="49" fontId="0" fillId="7" borderId="96" xfId="0" applyNumberFormat="1" applyFill="1" applyBorder="1" applyAlignment="1" applyProtection="1">
      <alignment horizontal="center"/>
      <protection locked="0"/>
    </xf>
    <xf numFmtId="167" fontId="0" fillId="7" borderId="96" xfId="1" applyNumberFormat="1" applyFont="1" applyFill="1" applyBorder="1" applyAlignment="1" applyProtection="1">
      <alignment horizontal="center" vertical="center"/>
      <protection locked="0"/>
    </xf>
    <xf numFmtId="0" fontId="0" fillId="7" borderId="96" xfId="0" applyFill="1" applyBorder="1" applyAlignment="1" applyProtection="1">
      <alignment horizontal="center"/>
      <protection locked="0"/>
    </xf>
    <xf numFmtId="0" fontId="0" fillId="7" borderId="85" xfId="0" applyFill="1" applyBorder="1" applyAlignment="1" applyProtection="1">
      <alignment horizontal="center" vertical="center"/>
      <protection locked="0"/>
    </xf>
    <xf numFmtId="49" fontId="0" fillId="7" borderId="85" xfId="0" applyNumberFormat="1" applyFill="1" applyBorder="1" applyAlignment="1" applyProtection="1">
      <alignment horizontal="center"/>
      <protection locked="0"/>
    </xf>
    <xf numFmtId="167" fontId="0" fillId="7" borderId="85" xfId="1" applyNumberFormat="1" applyFont="1" applyFill="1" applyBorder="1" applyAlignment="1" applyProtection="1">
      <alignment horizontal="center" vertical="center"/>
      <protection locked="0"/>
    </xf>
    <xf numFmtId="0" fontId="0" fillId="7" borderId="85" xfId="0" applyFill="1" applyBorder="1" applyAlignment="1">
      <alignment horizontal="center"/>
    </xf>
    <xf numFmtId="0" fontId="0" fillId="7" borderId="86" xfId="0" applyFill="1" applyBorder="1" applyAlignment="1" applyProtection="1">
      <alignment horizontal="center" vertical="center"/>
      <protection locked="0"/>
    </xf>
    <xf numFmtId="49" fontId="0" fillId="7" borderId="86" xfId="0" applyNumberFormat="1" applyFill="1" applyBorder="1" applyAlignment="1" applyProtection="1">
      <alignment horizontal="center"/>
      <protection locked="0"/>
    </xf>
    <xf numFmtId="167" fontId="0" fillId="7" borderId="86" xfId="1" applyNumberFormat="1" applyFont="1" applyFill="1" applyBorder="1" applyAlignment="1" applyProtection="1">
      <alignment horizontal="center" vertical="center"/>
      <protection locked="0"/>
    </xf>
    <xf numFmtId="0" fontId="0" fillId="7" borderId="86" xfId="0" applyFill="1" applyBorder="1" applyAlignment="1">
      <alignment horizontal="center"/>
    </xf>
    <xf numFmtId="167" fontId="0" fillId="0" borderId="0" xfId="0" applyNumberFormat="1"/>
    <xf numFmtId="167" fontId="0" fillId="0" borderId="0" xfId="3" applyNumberFormat="1" applyFont="1" applyAlignment="1">
      <alignment horizontal="center" vertical="center"/>
    </xf>
    <xf numFmtId="167" fontId="61" fillId="2" borderId="0" xfId="0" applyNumberFormat="1" applyFont="1" applyFill="1" applyAlignment="1">
      <alignment horizontal="center" vertical="center"/>
    </xf>
    <xf numFmtId="0" fontId="61" fillId="0" borderId="0" xfId="0" applyFont="1" applyAlignment="1">
      <alignment horizontal="center" vertical="center"/>
    </xf>
    <xf numFmtId="3" fontId="53" fillId="7" borderId="84" xfId="0" applyNumberFormat="1" applyFont="1" applyFill="1" applyBorder="1" applyAlignment="1" applyProtection="1">
      <alignment horizontal="center" vertical="center"/>
      <protection locked="0"/>
    </xf>
    <xf numFmtId="0" fontId="0" fillId="0" borderId="0" xfId="0" applyAlignment="1">
      <alignment vertical="center" wrapText="1"/>
    </xf>
    <xf numFmtId="0" fontId="0" fillId="0" borderId="107" xfId="0" applyBorder="1"/>
    <xf numFmtId="166" fontId="0" fillId="0" borderId="107" xfId="1" applyNumberFormat="1" applyFont="1" applyBorder="1" applyAlignment="1">
      <alignment vertical="center"/>
    </xf>
    <xf numFmtId="166" fontId="0" fillId="0" borderId="107" xfId="1" applyNumberFormat="1" applyFont="1" applyBorder="1" applyAlignment="1"/>
    <xf numFmtId="0" fontId="0" fillId="0" borderId="112" xfId="0" applyBorder="1"/>
    <xf numFmtId="0" fontId="0" fillId="0" borderId="0" xfId="0" applyAlignment="1">
      <alignment wrapText="1"/>
    </xf>
    <xf numFmtId="0" fontId="4" fillId="9" borderId="0" xfId="0" applyFont="1" applyFill="1" applyAlignment="1">
      <alignment vertical="center"/>
    </xf>
    <xf numFmtId="0" fontId="100" fillId="9" borderId="0" xfId="0" applyFont="1" applyFill="1" applyAlignment="1">
      <alignment horizontal="center" vertical="center"/>
    </xf>
    <xf numFmtId="0" fontId="17" fillId="9" borderId="0" xfId="0" applyFont="1" applyFill="1" applyAlignment="1">
      <alignment vertical="center"/>
    </xf>
    <xf numFmtId="0" fontId="17" fillId="9" borderId="0" xfId="0" applyFont="1" applyFill="1" applyAlignment="1">
      <alignment horizontal="center" vertical="center"/>
    </xf>
    <xf numFmtId="169" fontId="19" fillId="9" borderId="55" xfId="3" applyNumberFormat="1" applyFont="1" applyFill="1" applyBorder="1" applyAlignment="1">
      <alignment horizontal="center" vertical="center"/>
    </xf>
    <xf numFmtId="10" fontId="19" fillId="9" borderId="0" xfId="3" applyNumberFormat="1" applyFont="1" applyFill="1" applyBorder="1" applyAlignment="1">
      <alignment horizontal="center" vertical="center"/>
    </xf>
    <xf numFmtId="169" fontId="19" fillId="9" borderId="0" xfId="3" applyNumberFormat="1" applyFont="1" applyFill="1" applyBorder="1" applyAlignment="1">
      <alignment horizontal="center" vertical="center"/>
    </xf>
    <xf numFmtId="167" fontId="4" fillId="9" borderId="0" xfId="1" applyNumberFormat="1" applyFont="1" applyFill="1" applyAlignment="1">
      <alignment vertical="center"/>
    </xf>
    <xf numFmtId="167" fontId="41" fillId="9" borderId="55" xfId="0" applyNumberFormat="1" applyFont="1" applyFill="1" applyBorder="1" applyAlignment="1">
      <alignment vertical="center"/>
    </xf>
    <xf numFmtId="0" fontId="41" fillId="9" borderId="55" xfId="0" applyFont="1" applyFill="1" applyBorder="1" applyAlignment="1">
      <alignment vertical="center"/>
    </xf>
    <xf numFmtId="9" fontId="59" fillId="9" borderId="55" xfId="0" applyNumberFormat="1" applyFont="1" applyFill="1" applyBorder="1" applyAlignment="1">
      <alignment horizontal="center" vertical="center"/>
    </xf>
    <xf numFmtId="167" fontId="41" fillId="9" borderId="0" xfId="0" applyNumberFormat="1" applyFont="1" applyFill="1" applyAlignment="1">
      <alignment vertical="center"/>
    </xf>
    <xf numFmtId="0" fontId="41" fillId="9" borderId="0" xfId="0" applyFont="1" applyFill="1" applyAlignment="1">
      <alignment vertical="center"/>
    </xf>
    <xf numFmtId="9" fontId="59" fillId="9" borderId="0" xfId="0" applyNumberFormat="1" applyFont="1" applyFill="1" applyAlignment="1">
      <alignment horizontal="center" vertical="center"/>
    </xf>
    <xf numFmtId="0" fontId="89" fillId="9" borderId="0" xfId="0" applyFont="1" applyFill="1" applyAlignment="1">
      <alignment horizontal="center" vertical="center"/>
    </xf>
    <xf numFmtId="0" fontId="67" fillId="2" borderId="56" xfId="0" applyFont="1" applyFill="1" applyBorder="1" applyAlignment="1">
      <alignment vertical="center"/>
    </xf>
    <xf numFmtId="167" fontId="67" fillId="2" borderId="56" xfId="0" applyNumberFormat="1" applyFont="1" applyFill="1" applyBorder="1" applyAlignment="1">
      <alignment vertical="center"/>
    </xf>
    <xf numFmtId="169" fontId="67" fillId="2" borderId="56" xfId="3" applyNumberFormat="1" applyFont="1" applyFill="1" applyBorder="1" applyAlignment="1">
      <alignment horizontal="center" vertical="center"/>
    </xf>
    <xf numFmtId="9" fontId="67" fillId="2" borderId="56" xfId="0" applyNumberFormat="1" applyFont="1" applyFill="1" applyBorder="1" applyAlignment="1">
      <alignment horizontal="center" vertical="center"/>
    </xf>
    <xf numFmtId="0" fontId="61" fillId="0" borderId="0" xfId="0" applyFont="1" applyAlignment="1">
      <alignment horizontal="left" vertical="center"/>
    </xf>
    <xf numFmtId="0" fontId="0" fillId="0" borderId="55" xfId="0" applyBorder="1" applyAlignment="1">
      <alignment vertical="center"/>
    </xf>
    <xf numFmtId="0" fontId="64" fillId="0" borderId="0" xfId="0" applyFont="1" applyAlignment="1">
      <alignment vertical="center"/>
    </xf>
    <xf numFmtId="0" fontId="105" fillId="49" borderId="0" xfId="0" applyFont="1" applyFill="1" applyAlignment="1">
      <alignment horizontal="center" vertical="center"/>
    </xf>
    <xf numFmtId="167" fontId="105" fillId="49" borderId="0" xfId="0" applyNumberFormat="1" applyFont="1" applyFill="1"/>
    <xf numFmtId="0" fontId="105" fillId="49" borderId="0" xfId="0" applyFont="1" applyFill="1"/>
    <xf numFmtId="0" fontId="105" fillId="0" borderId="0" xfId="0" applyFont="1"/>
    <xf numFmtId="0" fontId="103" fillId="0" borderId="45" xfId="0" applyFont="1" applyBorder="1" applyAlignment="1">
      <alignment horizontal="center" vertical="center"/>
    </xf>
    <xf numFmtId="0" fontId="103" fillId="0" borderId="73" xfId="0" applyFont="1" applyBorder="1" applyAlignment="1">
      <alignment horizontal="center" vertical="center"/>
    </xf>
    <xf numFmtId="176" fontId="103" fillId="0" borderId="33" xfId="0" applyNumberFormat="1" applyFont="1" applyBorder="1" applyAlignment="1">
      <alignment horizontal="center" vertical="center"/>
    </xf>
    <xf numFmtId="176" fontId="103" fillId="0" borderId="34" xfId="0" applyNumberFormat="1" applyFont="1" applyBorder="1" applyAlignment="1">
      <alignment horizontal="center" vertical="center"/>
    </xf>
    <xf numFmtId="176" fontId="103" fillId="0" borderId="41" xfId="0" applyNumberFormat="1" applyFont="1" applyBorder="1" applyAlignment="1">
      <alignment horizontal="center" vertical="center"/>
    </xf>
    <xf numFmtId="176" fontId="103" fillId="0" borderId="46" xfId="0" applyNumberFormat="1" applyFont="1" applyBorder="1" applyAlignment="1">
      <alignment horizontal="center" vertical="center"/>
    </xf>
    <xf numFmtId="176" fontId="103" fillId="0" borderId="45" xfId="0" applyNumberFormat="1" applyFont="1" applyBorder="1" applyAlignment="1">
      <alignment horizontal="center" vertical="center"/>
    </xf>
    <xf numFmtId="0" fontId="103" fillId="0" borderId="34" xfId="0" applyFont="1" applyBorder="1" applyAlignment="1">
      <alignment horizontal="center" vertical="center"/>
    </xf>
    <xf numFmtId="0" fontId="106" fillId="4" borderId="0" xfId="0" applyFont="1" applyFill="1" applyAlignment="1">
      <alignment horizontal="center" vertical="center"/>
    </xf>
    <xf numFmtId="167" fontId="106" fillId="4" borderId="1" xfId="0" applyNumberFormat="1" applyFont="1" applyFill="1" applyBorder="1" applyAlignment="1">
      <alignment horizontal="center" vertical="center"/>
    </xf>
    <xf numFmtId="2" fontId="106" fillId="4" borderId="1" xfId="0" applyNumberFormat="1" applyFont="1" applyFill="1" applyBorder="1" applyAlignment="1">
      <alignment horizontal="center" vertical="center"/>
    </xf>
    <xf numFmtId="0" fontId="103" fillId="8" borderId="6" xfId="0" applyFont="1" applyFill="1" applyBorder="1" applyAlignment="1">
      <alignment horizontal="center" vertical="center"/>
    </xf>
    <xf numFmtId="0" fontId="103" fillId="8" borderId="74" xfId="0" applyFont="1" applyFill="1" applyBorder="1" applyAlignment="1">
      <alignment horizontal="center" vertical="center"/>
    </xf>
    <xf numFmtId="176" fontId="103" fillId="8" borderId="51" xfId="0" applyNumberFormat="1" applyFont="1" applyFill="1" applyBorder="1" applyAlignment="1">
      <alignment horizontal="center" vertical="center"/>
    </xf>
    <xf numFmtId="176" fontId="103" fillId="8" borderId="50" xfId="0" applyNumberFormat="1" applyFont="1" applyFill="1" applyBorder="1" applyAlignment="1">
      <alignment horizontal="center" vertical="center"/>
    </xf>
    <xf numFmtId="0" fontId="104" fillId="8" borderId="1" xfId="0" applyFont="1" applyFill="1" applyBorder="1" applyAlignment="1">
      <alignment horizontal="right" vertical="center" indent="1"/>
    </xf>
    <xf numFmtId="167" fontId="103" fillId="8" borderId="1" xfId="0" applyNumberFormat="1" applyFont="1" applyFill="1" applyBorder="1" applyAlignment="1">
      <alignment horizontal="center" vertical="center"/>
    </xf>
    <xf numFmtId="9" fontId="103" fillId="8" borderId="1" xfId="3" applyFont="1" applyFill="1" applyBorder="1" applyAlignment="1">
      <alignment horizontal="center" vertical="center"/>
    </xf>
    <xf numFmtId="0" fontId="103" fillId="3" borderId="4" xfId="0" applyFont="1" applyFill="1" applyBorder="1" applyAlignment="1">
      <alignment horizontal="center" vertical="center"/>
    </xf>
    <xf numFmtId="0" fontId="103" fillId="3" borderId="42" xfId="0" applyFont="1" applyFill="1" applyBorder="1" applyAlignment="1">
      <alignment horizontal="center" vertical="center"/>
    </xf>
    <xf numFmtId="176" fontId="103" fillId="3" borderId="43" xfId="0" applyNumberFormat="1" applyFont="1" applyFill="1" applyBorder="1" applyAlignment="1">
      <alignment horizontal="center" vertical="center"/>
    </xf>
    <xf numFmtId="0" fontId="107" fillId="3" borderId="1" xfId="0" applyFont="1" applyFill="1" applyBorder="1" applyAlignment="1">
      <alignment horizontal="right" vertical="center" indent="1"/>
    </xf>
    <xf numFmtId="167" fontId="105" fillId="9" borderId="1" xfId="0" applyNumberFormat="1" applyFont="1" applyFill="1" applyBorder="1" applyAlignment="1">
      <alignment horizontal="center" vertical="center"/>
    </xf>
    <xf numFmtId="9" fontId="105" fillId="9" borderId="1" xfId="3" applyFont="1" applyFill="1" applyBorder="1" applyAlignment="1">
      <alignment horizontal="center" vertical="center"/>
    </xf>
    <xf numFmtId="0" fontId="105" fillId="0" borderId="4" xfId="0" applyFont="1" applyBorder="1" applyAlignment="1">
      <alignment horizontal="center" vertical="center"/>
    </xf>
    <xf numFmtId="0" fontId="105" fillId="0" borderId="42" xfId="0" applyFont="1" applyBorder="1" applyAlignment="1">
      <alignment horizontal="center" vertical="center"/>
    </xf>
    <xf numFmtId="176" fontId="105" fillId="9" borderId="21" xfId="0" applyNumberFormat="1" applyFont="1" applyFill="1" applyBorder="1" applyAlignment="1">
      <alignment horizontal="center" vertical="center"/>
    </xf>
    <xf numFmtId="176" fontId="105" fillId="9" borderId="1" xfId="0" applyNumberFormat="1" applyFont="1" applyFill="1" applyBorder="1" applyAlignment="1">
      <alignment horizontal="center" vertical="center"/>
    </xf>
    <xf numFmtId="176" fontId="105" fillId="52" borderId="1" xfId="0" applyNumberFormat="1" applyFont="1" applyFill="1" applyBorder="1" applyAlignment="1">
      <alignment horizontal="center" vertical="center"/>
    </xf>
    <xf numFmtId="176" fontId="105" fillId="52" borderId="22" xfId="0" applyNumberFormat="1" applyFont="1" applyFill="1" applyBorder="1" applyAlignment="1">
      <alignment horizontal="center" vertical="center"/>
    </xf>
    <xf numFmtId="176" fontId="105" fillId="9" borderId="43" xfId="0" applyNumberFormat="1" applyFont="1" applyFill="1" applyBorder="1" applyAlignment="1">
      <alignment horizontal="center" vertical="center"/>
    </xf>
    <xf numFmtId="176" fontId="105" fillId="9" borderId="3" xfId="0" applyNumberFormat="1" applyFont="1" applyFill="1" applyBorder="1" applyAlignment="1">
      <alignment horizontal="center" vertical="center"/>
    </xf>
    <xf numFmtId="176" fontId="105" fillId="9" borderId="1" xfId="0" applyNumberFormat="1" applyFont="1" applyFill="1" applyBorder="1" applyAlignment="1">
      <alignment horizontal="center" vertical="center" wrapText="1"/>
    </xf>
    <xf numFmtId="170" fontId="105" fillId="54" borderId="1" xfId="0" applyNumberFormat="1" applyFont="1" applyFill="1" applyBorder="1" applyAlignment="1">
      <alignment horizontal="center" vertical="center"/>
    </xf>
    <xf numFmtId="176" fontId="105" fillId="9" borderId="22" xfId="0" applyNumberFormat="1" applyFont="1" applyFill="1" applyBorder="1" applyAlignment="1">
      <alignment horizontal="center" vertical="center"/>
    </xf>
    <xf numFmtId="176" fontId="105" fillId="9" borderId="4" xfId="0" applyNumberFormat="1" applyFont="1" applyFill="1" applyBorder="1" applyAlignment="1">
      <alignment horizontal="center" vertical="center"/>
    </xf>
    <xf numFmtId="176" fontId="105" fillId="0" borderId="21" xfId="0" applyNumberFormat="1" applyFont="1" applyBorder="1" applyAlignment="1">
      <alignment horizontal="center" vertical="center"/>
    </xf>
    <xf numFmtId="176" fontId="105" fillId="0" borderId="1" xfId="0" applyNumberFormat="1" applyFont="1" applyBorder="1" applyAlignment="1">
      <alignment horizontal="center" vertical="center"/>
    </xf>
    <xf numFmtId="176" fontId="105" fillId="0" borderId="3" xfId="0" applyNumberFormat="1" applyFont="1" applyBorder="1" applyAlignment="1">
      <alignment horizontal="center" vertical="center"/>
    </xf>
    <xf numFmtId="176" fontId="105" fillId="52" borderId="2" xfId="0" applyNumberFormat="1" applyFont="1" applyFill="1" applyBorder="1" applyAlignment="1">
      <alignment horizontal="center" vertical="center"/>
    </xf>
    <xf numFmtId="176" fontId="105" fillId="3" borderId="43" xfId="0" applyNumberFormat="1" applyFont="1" applyFill="1" applyBorder="1" applyAlignment="1">
      <alignment horizontal="center" vertical="center"/>
    </xf>
    <xf numFmtId="176" fontId="108" fillId="11" borderId="77" xfId="0" applyNumberFormat="1" applyFont="1" applyFill="1" applyBorder="1" applyAlignment="1">
      <alignment horizontal="center" vertical="center"/>
    </xf>
    <xf numFmtId="176" fontId="108" fillId="11" borderId="78" xfId="0" applyNumberFormat="1" applyFont="1" applyFill="1" applyBorder="1" applyAlignment="1">
      <alignment horizontal="center" vertical="center"/>
    </xf>
    <xf numFmtId="176" fontId="105" fillId="55" borderId="79" xfId="0" applyNumberFormat="1" applyFont="1" applyFill="1" applyBorder="1" applyAlignment="1">
      <alignment horizontal="center" vertical="center"/>
    </xf>
    <xf numFmtId="176" fontId="109" fillId="11" borderId="80" xfId="0" applyNumberFormat="1" applyFont="1" applyFill="1" applyBorder="1" applyAlignment="1">
      <alignment horizontal="center" vertical="center"/>
    </xf>
    <xf numFmtId="176" fontId="105" fillId="52" borderId="3" xfId="0" applyNumberFormat="1" applyFont="1" applyFill="1" applyBorder="1" applyAlignment="1">
      <alignment horizontal="center" vertical="center"/>
    </xf>
    <xf numFmtId="176" fontId="105" fillId="52" borderId="1" xfId="0" applyNumberFormat="1" applyFont="1" applyFill="1" applyBorder="1" applyAlignment="1">
      <alignment vertical="center"/>
    </xf>
    <xf numFmtId="176" fontId="109" fillId="11" borderId="79" xfId="3" applyNumberFormat="1" applyFont="1" applyFill="1" applyBorder="1" applyAlignment="1">
      <alignment horizontal="center" vertical="center"/>
    </xf>
    <xf numFmtId="176" fontId="109" fillId="11" borderId="82" xfId="0" applyNumberFormat="1" applyFont="1" applyFill="1" applyBorder="1" applyAlignment="1">
      <alignment horizontal="center" vertical="center"/>
    </xf>
    <xf numFmtId="0" fontId="105" fillId="0" borderId="8" xfId="0" applyFont="1" applyBorder="1" applyAlignment="1">
      <alignment horizontal="center" vertical="center"/>
    </xf>
    <xf numFmtId="0" fontId="106" fillId="4" borderId="1" xfId="0" applyFont="1" applyFill="1" applyBorder="1" applyAlignment="1">
      <alignment horizontal="right" vertical="center" indent="1"/>
    </xf>
    <xf numFmtId="0" fontId="103" fillId="8" borderId="47" xfId="0" applyFont="1" applyFill="1" applyBorder="1" applyAlignment="1">
      <alignment horizontal="center" vertical="center"/>
    </xf>
    <xf numFmtId="0" fontId="103" fillId="8" borderId="75" xfId="0" applyFont="1" applyFill="1" applyBorder="1" applyAlignment="1">
      <alignment horizontal="center" vertical="center"/>
    </xf>
    <xf numFmtId="167" fontId="104" fillId="10" borderId="99" xfId="0" applyNumberFormat="1" applyFont="1" applyFill="1" applyBorder="1" applyAlignment="1">
      <alignment horizontal="center" vertical="center"/>
    </xf>
    <xf numFmtId="2" fontId="104" fillId="10" borderId="99" xfId="0" applyNumberFormat="1" applyFont="1" applyFill="1" applyBorder="1" applyAlignment="1">
      <alignment horizontal="center" vertical="center"/>
    </xf>
    <xf numFmtId="167" fontId="103" fillId="3" borderId="100" xfId="0" applyNumberFormat="1" applyFont="1" applyFill="1" applyBorder="1" applyAlignment="1">
      <alignment horizontal="center" vertical="center"/>
    </xf>
    <xf numFmtId="9" fontId="103" fillId="3" borderId="100" xfId="3" applyFont="1" applyFill="1" applyBorder="1" applyAlignment="1">
      <alignment horizontal="center" vertical="center"/>
    </xf>
    <xf numFmtId="176" fontId="105" fillId="49" borderId="0" xfId="0" applyNumberFormat="1" applyFont="1" applyFill="1"/>
    <xf numFmtId="0" fontId="90" fillId="9" borderId="122" xfId="0" applyFont="1" applyFill="1" applyBorder="1" applyAlignment="1">
      <alignment horizontal="center" vertical="center"/>
    </xf>
    <xf numFmtId="0" fontId="90" fillId="9" borderId="123" xfId="0" applyFont="1" applyFill="1" applyBorder="1" applyAlignment="1">
      <alignment horizontal="center" vertical="center"/>
    </xf>
    <xf numFmtId="0" fontId="0" fillId="0" borderId="85" xfId="0" applyBorder="1" applyAlignment="1">
      <alignment vertical="center"/>
    </xf>
    <xf numFmtId="0" fontId="0" fillId="0" borderId="86" xfId="0" applyBorder="1" applyAlignment="1">
      <alignment vertical="center"/>
    </xf>
    <xf numFmtId="0" fontId="53" fillId="0" borderId="87" xfId="0" applyFont="1" applyBorder="1" applyAlignment="1">
      <alignment vertical="center"/>
    </xf>
    <xf numFmtId="164" fontId="0" fillId="7" borderId="85" xfId="1" applyFont="1" applyFill="1" applyBorder="1" applyAlignment="1" applyProtection="1">
      <alignment horizontal="center" vertical="center"/>
      <protection locked="0"/>
    </xf>
    <xf numFmtId="164" fontId="0" fillId="7" borderId="86" xfId="1" applyFont="1" applyFill="1" applyBorder="1" applyAlignment="1" applyProtection="1">
      <alignment horizontal="center" vertical="center"/>
      <protection locked="0"/>
    </xf>
    <xf numFmtId="167" fontId="0" fillId="7" borderId="87" xfId="1" applyNumberFormat="1" applyFont="1" applyFill="1" applyBorder="1" applyAlignment="1" applyProtection="1">
      <alignment horizontal="center" vertical="center"/>
      <protection locked="0"/>
    </xf>
    <xf numFmtId="164" fontId="0" fillId="7" borderId="87" xfId="1" applyFont="1" applyFill="1" applyBorder="1" applyAlignment="1" applyProtection="1">
      <alignment horizontal="center" vertical="center"/>
      <protection locked="0"/>
    </xf>
    <xf numFmtId="167" fontId="92" fillId="7" borderId="124" xfId="0" applyNumberFormat="1" applyFont="1" applyFill="1" applyBorder="1" applyAlignment="1" applyProtection="1">
      <alignment horizontal="center" vertical="center"/>
      <protection locked="0"/>
    </xf>
    <xf numFmtId="0" fontId="92" fillId="9" borderId="125" xfId="0" applyFont="1" applyFill="1" applyBorder="1" applyAlignment="1">
      <alignment horizontal="center" vertical="center"/>
    </xf>
    <xf numFmtId="0" fontId="17" fillId="0" borderId="0" xfId="0" applyFont="1" applyAlignment="1">
      <alignment horizontal="right" vertical="center"/>
    </xf>
    <xf numFmtId="176" fontId="110" fillId="58" borderId="1" xfId="0" applyNumberFormat="1" applyFont="1" applyFill="1" applyBorder="1" applyAlignment="1">
      <alignment horizontal="center" vertical="center"/>
    </xf>
    <xf numFmtId="0" fontId="0" fillId="0" borderId="126" xfId="0" applyBorder="1"/>
    <xf numFmtId="167" fontId="4" fillId="9" borderId="55" xfId="0" applyNumberFormat="1" applyFont="1" applyFill="1" applyBorder="1" applyAlignment="1">
      <alignment horizontal="right"/>
    </xf>
    <xf numFmtId="0" fontId="66" fillId="9" borderId="56" xfId="0" applyFont="1" applyFill="1" applyBorder="1" applyAlignment="1">
      <alignment horizontal="right"/>
    </xf>
    <xf numFmtId="0" fontId="4" fillId="9" borderId="55" xfId="0" applyFont="1" applyFill="1" applyBorder="1" applyAlignment="1">
      <alignment horizontal="left"/>
    </xf>
    <xf numFmtId="0" fontId="66" fillId="9" borderId="56" xfId="0" applyFont="1" applyFill="1" applyBorder="1" applyAlignment="1">
      <alignment horizontal="left"/>
    </xf>
    <xf numFmtId="0" fontId="111" fillId="0" borderId="0" xfId="0" applyFont="1"/>
    <xf numFmtId="0" fontId="0" fillId="7" borderId="85" xfId="0" applyFill="1" applyBorder="1" applyAlignment="1">
      <alignment horizontal="center" vertical="center"/>
    </xf>
    <xf numFmtId="0" fontId="0" fillId="7" borderId="86" xfId="0" applyFill="1" applyBorder="1" applyAlignment="1">
      <alignment horizontal="center" vertical="center"/>
    </xf>
    <xf numFmtId="0" fontId="0" fillId="7" borderId="87" xfId="0" applyFill="1" applyBorder="1" applyAlignment="1">
      <alignment horizontal="center" vertical="center"/>
    </xf>
    <xf numFmtId="167" fontId="0" fillId="7" borderId="2" xfId="1" applyNumberFormat="1" applyFont="1" applyFill="1" applyBorder="1" applyAlignment="1" applyProtection="1">
      <alignment horizontal="center" vertical="center"/>
      <protection locked="0"/>
    </xf>
    <xf numFmtId="167" fontId="0" fillId="7" borderId="38" xfId="0" applyNumberFormat="1" applyFill="1" applyBorder="1" applyAlignment="1" applyProtection="1">
      <alignment horizontal="center" vertical="center"/>
      <protection locked="0"/>
    </xf>
    <xf numFmtId="167" fontId="0" fillId="59" borderId="38" xfId="0" applyNumberFormat="1" applyFill="1" applyBorder="1" applyAlignment="1" applyProtection="1">
      <alignment horizontal="center" vertical="center"/>
      <protection locked="0"/>
    </xf>
    <xf numFmtId="167" fontId="0" fillId="7" borderId="1" xfId="1" applyNumberFormat="1" applyFont="1" applyFill="1" applyBorder="1" applyAlignment="1" applyProtection="1">
      <alignment horizontal="center" vertical="center"/>
      <protection locked="0"/>
    </xf>
    <xf numFmtId="176" fontId="112" fillId="11" borderId="130" xfId="3" applyNumberFormat="1" applyFont="1" applyFill="1" applyBorder="1" applyAlignment="1">
      <alignment horizontal="center" vertical="center"/>
    </xf>
    <xf numFmtId="176" fontId="112" fillId="11" borderId="131" xfId="3" applyNumberFormat="1" applyFont="1" applyFill="1" applyBorder="1" applyAlignment="1">
      <alignment horizontal="center" vertical="center"/>
    </xf>
    <xf numFmtId="176" fontId="112" fillId="11" borderId="132" xfId="3" applyNumberFormat="1" applyFont="1" applyFill="1" applyBorder="1" applyAlignment="1">
      <alignment horizontal="center" vertical="center"/>
    </xf>
    <xf numFmtId="176" fontId="112" fillId="11" borderId="133" xfId="3" applyNumberFormat="1" applyFont="1" applyFill="1" applyBorder="1" applyAlignment="1">
      <alignment horizontal="center" vertical="center"/>
    </xf>
    <xf numFmtId="176" fontId="112" fillId="11" borderId="134" xfId="3" applyNumberFormat="1" applyFont="1" applyFill="1" applyBorder="1" applyAlignment="1">
      <alignment horizontal="center" vertical="center"/>
    </xf>
    <xf numFmtId="176" fontId="112" fillId="11" borderId="135" xfId="3" applyNumberFormat="1" applyFont="1" applyFill="1" applyBorder="1" applyAlignment="1">
      <alignment horizontal="center" vertical="center"/>
    </xf>
    <xf numFmtId="176" fontId="112" fillId="11" borderId="79" xfId="3" applyNumberFormat="1" applyFont="1" applyFill="1" applyBorder="1" applyAlignment="1">
      <alignment horizontal="center" vertical="center"/>
    </xf>
    <xf numFmtId="176" fontId="113" fillId="55" borderId="79" xfId="0" applyNumberFormat="1" applyFont="1" applyFill="1" applyBorder="1" applyAlignment="1">
      <alignment horizontal="center" vertical="center"/>
    </xf>
    <xf numFmtId="176" fontId="113" fillId="55" borderId="81" xfId="0" applyNumberFormat="1" applyFont="1" applyFill="1" applyBorder="1" applyAlignment="1">
      <alignment horizontal="center" vertical="center"/>
    </xf>
    <xf numFmtId="176" fontId="112" fillId="11" borderId="82" xfId="0" applyNumberFormat="1" applyFont="1" applyFill="1" applyBorder="1" applyAlignment="1">
      <alignment horizontal="center" vertical="center"/>
    </xf>
    <xf numFmtId="176" fontId="112" fillId="11" borderId="136" xfId="0" applyNumberFormat="1" applyFont="1" applyFill="1" applyBorder="1" applyAlignment="1">
      <alignment horizontal="center" vertical="center"/>
    </xf>
    <xf numFmtId="0" fontId="88" fillId="7" borderId="85" xfId="0" applyFont="1" applyFill="1" applyBorder="1" applyAlignment="1" applyProtection="1">
      <alignment horizontal="center"/>
      <protection locked="0"/>
    </xf>
    <xf numFmtId="0" fontId="4" fillId="0" borderId="0" xfId="0" applyFont="1" applyAlignment="1">
      <alignment horizontal="center" vertical="center"/>
    </xf>
    <xf numFmtId="0" fontId="11" fillId="2" borderId="0" xfId="2" applyFill="1"/>
    <xf numFmtId="0" fontId="0" fillId="2" borderId="0" xfId="0" applyFill="1" applyAlignment="1">
      <alignment horizontal="left" vertical="top" wrapText="1"/>
    </xf>
    <xf numFmtId="0" fontId="67" fillId="2" borderId="0" xfId="0" applyFont="1" applyFill="1" applyAlignment="1">
      <alignment horizontal="center" vertical="center" wrapText="1"/>
    </xf>
    <xf numFmtId="0" fontId="17" fillId="0" borderId="0" xfId="0" applyFont="1" applyAlignment="1" applyProtection="1">
      <alignment horizontal="left" vertical="center" wrapText="1" indent="1"/>
      <protection locked="0"/>
    </xf>
    <xf numFmtId="0" fontId="0" fillId="2" borderId="0" xfId="0" applyFill="1" applyAlignment="1">
      <alignment horizontal="left" vertical="center" indent="1"/>
    </xf>
    <xf numFmtId="0" fontId="0" fillId="2" borderId="0" xfId="0" applyFill="1" applyAlignment="1">
      <alignment horizontal="right" vertical="center" wrapText="1" indent="1"/>
    </xf>
    <xf numFmtId="0" fontId="0" fillId="2" borderId="0" xfId="0" applyFill="1" applyAlignment="1">
      <alignment horizontal="center" vertical="center"/>
    </xf>
    <xf numFmtId="0" fontId="0" fillId="9" borderId="0" xfId="0" applyFill="1" applyAlignment="1" applyProtection="1">
      <alignment horizontal="center" vertical="center"/>
      <protection locked="0"/>
    </xf>
    <xf numFmtId="0" fontId="6" fillId="49" borderId="0" xfId="0" applyFont="1" applyFill="1" applyAlignment="1">
      <alignment horizontal="center" vertical="center"/>
    </xf>
    <xf numFmtId="0" fontId="68" fillId="2" borderId="0" xfId="0" applyFont="1" applyFill="1" applyAlignment="1">
      <alignment horizontal="center" vertical="center" wrapText="1"/>
    </xf>
    <xf numFmtId="0" fontId="0" fillId="2" borderId="69" xfId="0" applyFill="1" applyBorder="1" applyAlignment="1">
      <alignment horizontal="left" vertical="center" wrapText="1" indent="1"/>
    </xf>
    <xf numFmtId="0" fontId="0" fillId="2" borderId="72" xfId="0" applyFill="1" applyBorder="1" applyAlignment="1">
      <alignment horizontal="left" vertical="center" wrapText="1" indent="1"/>
    </xf>
    <xf numFmtId="0" fontId="0" fillId="2" borderId="76" xfId="0" applyFill="1" applyBorder="1" applyAlignment="1">
      <alignment horizontal="center" vertical="center"/>
    </xf>
    <xf numFmtId="0" fontId="91" fillId="9" borderId="0" xfId="0" applyFont="1" applyFill="1" applyAlignment="1">
      <alignment horizontal="left" vertical="center" indent="1"/>
    </xf>
    <xf numFmtId="0" fontId="0" fillId="2" borderId="76" xfId="0" applyFill="1" applyBorder="1" applyAlignment="1">
      <alignment horizontal="left" vertical="center" wrapText="1" indent="1"/>
    </xf>
    <xf numFmtId="0" fontId="0" fillId="2" borderId="72" xfId="0" applyFill="1" applyBorder="1" applyAlignment="1">
      <alignment horizontal="center" vertical="center"/>
    </xf>
    <xf numFmtId="0" fontId="0" fillId="2" borderId="69" xfId="0" applyFill="1" applyBorder="1" applyAlignment="1">
      <alignment horizontal="center" vertical="center"/>
    </xf>
    <xf numFmtId="0" fontId="98"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9" fontId="0" fillId="7" borderId="84" xfId="3" applyFont="1" applyFill="1" applyBorder="1" applyAlignment="1" applyProtection="1">
      <alignment horizontal="center"/>
      <protection locked="0"/>
    </xf>
    <xf numFmtId="0" fontId="28" fillId="0" borderId="0" xfId="0" applyFont="1" applyAlignment="1">
      <alignment horizontal="left" wrapText="1"/>
    </xf>
    <xf numFmtId="0" fontId="34" fillId="0" borderId="0" xfId="0" applyFont="1" applyAlignment="1">
      <alignment horizontal="left" vertical="center" wrapText="1"/>
    </xf>
    <xf numFmtId="0" fontId="0" fillId="9" borderId="62" xfId="0" applyFill="1" applyBorder="1" applyAlignment="1">
      <alignment horizontal="center" vertical="center"/>
    </xf>
    <xf numFmtId="0" fontId="0" fillId="9" borderId="0" xfId="0" applyFill="1" applyAlignment="1">
      <alignment horizontal="center" vertical="center"/>
    </xf>
    <xf numFmtId="0" fontId="0" fillId="9" borderId="63" xfId="0" applyFill="1" applyBorder="1" applyAlignment="1">
      <alignment horizontal="center" vertical="center"/>
    </xf>
    <xf numFmtId="0" fontId="0" fillId="9" borderId="58" xfId="0" applyFill="1" applyBorder="1" applyAlignment="1">
      <alignment horizontal="center" vertical="center"/>
    </xf>
    <xf numFmtId="0" fontId="0" fillId="9" borderId="59" xfId="0" applyFill="1" applyBorder="1" applyAlignment="1">
      <alignment horizontal="center" vertical="center"/>
    </xf>
    <xf numFmtId="0" fontId="0" fillId="9" borderId="60" xfId="0" applyFill="1" applyBorder="1" applyAlignment="1">
      <alignment horizontal="center" vertical="center"/>
    </xf>
    <xf numFmtId="0" fontId="0" fillId="9" borderId="61" xfId="0" applyFill="1" applyBorder="1" applyAlignment="1">
      <alignment horizontal="center" vertical="center"/>
    </xf>
    <xf numFmtId="0" fontId="0" fillId="9" borderId="55" xfId="0" applyFill="1" applyBorder="1" applyAlignment="1">
      <alignment horizontal="center" vertical="center"/>
    </xf>
    <xf numFmtId="0" fontId="0" fillId="9" borderId="56" xfId="0" applyFill="1" applyBorder="1" applyAlignment="1">
      <alignment horizontal="center" vertical="center"/>
    </xf>
    <xf numFmtId="0" fontId="0" fillId="7" borderId="55"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56" xfId="0" applyFill="1" applyBorder="1" applyAlignment="1" applyProtection="1">
      <alignment horizontal="center" vertical="center"/>
      <protection locked="0"/>
    </xf>
    <xf numFmtId="0" fontId="17" fillId="0" borderId="0" xfId="0" applyFont="1" applyAlignment="1">
      <alignment horizontal="center" vertical="center"/>
    </xf>
    <xf numFmtId="0" fontId="17" fillId="0" borderId="56" xfId="0" applyFont="1" applyBorder="1" applyAlignment="1">
      <alignment horizontal="center" vertical="center"/>
    </xf>
    <xf numFmtId="0" fontId="17" fillId="0" borderId="0" xfId="0" applyFont="1" applyAlignment="1" applyProtection="1">
      <alignment horizontal="center" vertical="center"/>
      <protection locked="0"/>
    </xf>
    <xf numFmtId="0" fontId="17" fillId="0" borderId="0" xfId="0" applyFont="1" applyAlignment="1" applyProtection="1">
      <alignment horizontal="center" vertical="center" wrapText="1"/>
      <protection locked="0"/>
    </xf>
    <xf numFmtId="0" fontId="17" fillId="0" borderId="56" xfId="0" applyFont="1" applyBorder="1" applyAlignment="1" applyProtection="1">
      <alignment horizontal="center" vertical="center" wrapText="1"/>
      <protection locked="0"/>
    </xf>
    <xf numFmtId="0" fontId="17" fillId="0" borderId="56" xfId="0" applyFont="1" applyBorder="1" applyAlignment="1" applyProtection="1">
      <alignment horizontal="center" vertical="center"/>
      <protection locked="0"/>
    </xf>
    <xf numFmtId="0" fontId="67" fillId="53" borderId="86" xfId="0" applyFont="1" applyFill="1" applyBorder="1" applyAlignment="1" applyProtection="1">
      <alignment horizontal="center" vertical="center"/>
      <protection locked="0"/>
    </xf>
    <xf numFmtId="0" fontId="67" fillId="53" borderId="92" xfId="0" applyFont="1" applyFill="1" applyBorder="1" applyAlignment="1" applyProtection="1">
      <alignment horizontal="center" vertical="center"/>
      <protection locked="0"/>
    </xf>
    <xf numFmtId="0" fontId="0" fillId="0" borderId="84" xfId="0" applyBorder="1" applyAlignment="1">
      <alignment horizontal="left"/>
    </xf>
    <xf numFmtId="0" fontId="83" fillId="0" borderId="0" xfId="0" applyFont="1" applyAlignment="1">
      <alignment horizontal="left"/>
    </xf>
    <xf numFmtId="0" fontId="61" fillId="0" borderId="56" xfId="0" applyFont="1" applyBorder="1" applyAlignment="1">
      <alignment horizontal="center"/>
    </xf>
    <xf numFmtId="0" fontId="4" fillId="0" borderId="105" xfId="0" applyFont="1" applyBorder="1" applyAlignment="1">
      <alignment horizontal="center" vertical="center"/>
    </xf>
    <xf numFmtId="0" fontId="17" fillId="0" borderId="0" xfId="0" applyFont="1"/>
    <xf numFmtId="0" fontId="61" fillId="0" borderId="0" xfId="0" applyFont="1" applyAlignment="1">
      <alignment horizontal="center"/>
    </xf>
    <xf numFmtId="0" fontId="0" fillId="9" borderId="57" xfId="0" applyFill="1" applyBorder="1" applyAlignment="1">
      <alignment horizontal="center" vertical="center"/>
    </xf>
    <xf numFmtId="0" fontId="0" fillId="7" borderId="55" xfId="0" applyFill="1" applyBorder="1" applyAlignment="1" applyProtection="1">
      <alignment horizontal="center" vertical="center" wrapText="1"/>
      <protection locked="0"/>
    </xf>
    <xf numFmtId="0" fontId="0" fillId="7" borderId="0" xfId="0" applyFill="1" applyAlignment="1" applyProtection="1">
      <alignment horizontal="center" vertical="center" wrapText="1"/>
      <protection locked="0"/>
    </xf>
    <xf numFmtId="0" fontId="0" fillId="7" borderId="56" xfId="0" applyFill="1" applyBorder="1" applyAlignment="1" applyProtection="1">
      <alignment horizontal="center" vertical="center" wrapText="1"/>
      <protection locked="0"/>
    </xf>
    <xf numFmtId="0" fontId="0" fillId="9" borderId="64" xfId="0" applyFill="1" applyBorder="1" applyAlignment="1">
      <alignment horizontal="center" vertical="center"/>
    </xf>
    <xf numFmtId="0" fontId="0" fillId="9" borderId="65" xfId="0" applyFill="1" applyBorder="1" applyAlignment="1">
      <alignment horizontal="center" vertical="center"/>
    </xf>
    <xf numFmtId="0" fontId="27" fillId="0" borderId="83" xfId="0" applyFont="1" applyBorder="1" applyAlignment="1">
      <alignment horizontal="left" vertical="center" wrapText="1"/>
    </xf>
    <xf numFmtId="0" fontId="17" fillId="0" borderId="0" xfId="0" applyFont="1" applyAlignment="1">
      <alignment horizontal="right"/>
    </xf>
    <xf numFmtId="0" fontId="60" fillId="0" borderId="0" xfId="0" applyFont="1" applyAlignment="1">
      <alignment horizontal="left" vertical="center" wrapText="1" indent="1"/>
    </xf>
    <xf numFmtId="0" fontId="89" fillId="53" borderId="0" xfId="0" applyFont="1" applyFill="1" applyAlignment="1" applyProtection="1">
      <alignment horizontal="center"/>
      <protection locked="0"/>
    </xf>
    <xf numFmtId="0" fontId="27" fillId="0" borderId="0" xfId="0" applyFont="1" applyAlignment="1">
      <alignment horizontal="left" vertical="center" wrapText="1"/>
    </xf>
    <xf numFmtId="0" fontId="27" fillId="0" borderId="83" xfId="0" applyFont="1" applyBorder="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left" vertical="top"/>
    </xf>
    <xf numFmtId="0" fontId="61" fillId="0" borderId="0" xfId="0" applyFont="1" applyAlignment="1" applyProtection="1">
      <alignment horizontal="center"/>
      <protection locked="0"/>
    </xf>
    <xf numFmtId="0" fontId="17" fillId="0" borderId="0" xfId="0" applyFont="1" applyAlignment="1">
      <alignment horizontal="right" vertical="center"/>
    </xf>
    <xf numFmtId="0" fontId="0" fillId="0" borderId="37" xfId="0" applyBorder="1" applyAlignment="1">
      <alignment horizontal="left" vertical="center" wrapText="1"/>
    </xf>
    <xf numFmtId="0" fontId="0" fillId="0" borderId="36" xfId="0" applyBorder="1" applyAlignment="1">
      <alignment horizontal="left" vertical="center" wrapText="1"/>
    </xf>
    <xf numFmtId="0" fontId="24" fillId="2" borderId="0" xfId="2" applyFont="1" applyFill="1" applyBorder="1" applyAlignment="1" applyProtection="1">
      <alignment horizontal="center" vertical="center"/>
      <protection locked="0"/>
    </xf>
    <xf numFmtId="0" fontId="28" fillId="0" borderId="0" xfId="0" applyFont="1" applyAlignment="1">
      <alignment horizontal="left" vertical="top" wrapText="1"/>
    </xf>
    <xf numFmtId="0" fontId="90" fillId="0" borderId="17" xfId="0" applyFont="1" applyBorder="1" applyAlignment="1">
      <alignment horizontal="center" vertical="center"/>
    </xf>
    <xf numFmtId="0" fontId="90" fillId="0" borderId="18" xfId="0" applyFont="1" applyBorder="1" applyAlignment="1">
      <alignment horizontal="center" vertical="center"/>
    </xf>
    <xf numFmtId="0" fontId="16" fillId="2" borderId="0" xfId="0" applyFont="1" applyFill="1" applyAlignment="1">
      <alignment horizontal="left" vertical="center" wrapText="1"/>
    </xf>
    <xf numFmtId="0" fontId="16" fillId="2" borderId="35" xfId="0" applyFont="1" applyFill="1" applyBorder="1" applyAlignment="1">
      <alignment horizontal="left" vertical="center" wrapText="1"/>
    </xf>
    <xf numFmtId="0" fontId="31" fillId="0" borderId="0" xfId="0" applyFont="1" applyAlignment="1">
      <alignment horizontal="center" wrapText="1"/>
    </xf>
    <xf numFmtId="167" fontId="92" fillId="57" borderId="124" xfId="0" applyNumberFormat="1" applyFont="1" applyFill="1" applyBorder="1" applyAlignment="1" applyProtection="1">
      <alignment horizontal="center" vertical="center"/>
      <protection locked="0"/>
    </xf>
    <xf numFmtId="167" fontId="92" fillId="57" borderId="125" xfId="0" applyNumberFormat="1" applyFont="1" applyFill="1" applyBorder="1" applyAlignment="1" applyProtection="1">
      <alignment horizontal="center" vertical="center"/>
      <protection locked="0"/>
    </xf>
    <xf numFmtId="0" fontId="33" fillId="9" borderId="55" xfId="0" applyFont="1" applyFill="1" applyBorder="1" applyAlignment="1">
      <alignment horizontal="center" vertical="center" wrapText="1"/>
    </xf>
    <xf numFmtId="0" fontId="33" fillId="9" borderId="56" xfId="0" applyFont="1" applyFill="1" applyBorder="1" applyAlignment="1">
      <alignment horizontal="center" vertical="center" wrapText="1"/>
    </xf>
    <xf numFmtId="0" fontId="81" fillId="0" borderId="114" xfId="0" applyFont="1" applyBorder="1" applyAlignment="1">
      <alignment horizontal="center" vertical="center" wrapText="1"/>
    </xf>
    <xf numFmtId="0" fontId="81" fillId="0" borderId="115" xfId="0" applyFont="1" applyBorder="1" applyAlignment="1">
      <alignment horizontal="center" vertical="center" wrapText="1"/>
    </xf>
    <xf numFmtId="0" fontId="81" fillId="0" borderId="116" xfId="0" applyFont="1" applyBorder="1" applyAlignment="1">
      <alignment horizontal="center" vertical="center" wrapText="1"/>
    </xf>
    <xf numFmtId="0" fontId="81" fillId="0" borderId="117" xfId="0" applyFont="1" applyBorder="1" applyAlignment="1">
      <alignment horizontal="center" vertical="center" wrapText="1"/>
    </xf>
    <xf numFmtId="0" fontId="81" fillId="0" borderId="0" xfId="0" applyFont="1" applyAlignment="1">
      <alignment horizontal="center" vertical="center" wrapText="1"/>
    </xf>
    <xf numFmtId="0" fontId="81" fillId="0" borderId="118" xfId="0" applyFont="1" applyBorder="1" applyAlignment="1">
      <alignment horizontal="center" vertical="center" wrapText="1"/>
    </xf>
    <xf numFmtId="0" fontId="0" fillId="0" borderId="117" xfId="0" applyBorder="1" applyAlignment="1">
      <alignment horizontal="center" vertical="center" wrapText="1"/>
    </xf>
    <xf numFmtId="0" fontId="0" fillId="0" borderId="0" xfId="0" applyAlignment="1">
      <alignment horizontal="center" vertical="center" wrapText="1"/>
    </xf>
    <xf numFmtId="0" fontId="0" fillId="0" borderId="118" xfId="0" applyBorder="1" applyAlignment="1">
      <alignment horizontal="center" vertical="center" wrapText="1"/>
    </xf>
    <xf numFmtId="9" fontId="18" fillId="9" borderId="117" xfId="0" applyNumberFormat="1" applyFont="1" applyFill="1" applyBorder="1" applyAlignment="1">
      <alignment horizontal="center" vertical="top" wrapText="1"/>
    </xf>
    <xf numFmtId="9" fontId="18" fillId="9" borderId="0" xfId="0" applyNumberFormat="1" applyFont="1" applyFill="1" applyAlignment="1">
      <alignment horizontal="center" vertical="top" wrapText="1"/>
    </xf>
    <xf numFmtId="9" fontId="18" fillId="9" borderId="118" xfId="0" applyNumberFormat="1" applyFont="1" applyFill="1" applyBorder="1" applyAlignment="1">
      <alignment horizontal="center" vertical="top" wrapText="1"/>
    </xf>
    <xf numFmtId="0" fontId="0" fillId="9" borderId="117" xfId="0" applyFill="1" applyBorder="1" applyAlignment="1">
      <alignment horizontal="center" wrapText="1"/>
    </xf>
    <xf numFmtId="0" fontId="0" fillId="9" borderId="0" xfId="0" applyFill="1" applyAlignment="1">
      <alignment horizontal="center" wrapText="1"/>
    </xf>
    <xf numFmtId="0" fontId="0" fillId="9" borderId="118" xfId="0" applyFill="1" applyBorder="1" applyAlignment="1">
      <alignment horizontal="center" wrapText="1"/>
    </xf>
    <xf numFmtId="9" fontId="18" fillId="9" borderId="119" xfId="0" applyNumberFormat="1" applyFont="1" applyFill="1" applyBorder="1" applyAlignment="1">
      <alignment horizontal="center" vertical="top" wrapText="1"/>
    </xf>
    <xf numFmtId="9" fontId="18" fillId="9" borderId="120" xfId="0" applyNumberFormat="1" applyFont="1" applyFill="1" applyBorder="1" applyAlignment="1">
      <alignment horizontal="center" vertical="top" wrapText="1"/>
    </xf>
    <xf numFmtId="9" fontId="18" fillId="9" borderId="121" xfId="0" applyNumberFormat="1" applyFont="1" applyFill="1" applyBorder="1" applyAlignment="1">
      <alignment horizontal="center" vertical="top" wrapText="1"/>
    </xf>
    <xf numFmtId="0" fontId="67" fillId="2" borderId="56" xfId="0" applyFont="1" applyFill="1" applyBorder="1" applyAlignment="1">
      <alignment horizontal="center" vertical="center"/>
    </xf>
    <xf numFmtId="3" fontId="26" fillId="0" borderId="107" xfId="1" applyNumberFormat="1" applyFont="1" applyBorder="1" applyAlignment="1">
      <alignment horizontal="center"/>
    </xf>
    <xf numFmtId="180" fontId="26" fillId="0" borderId="107" xfId="0" applyNumberFormat="1" applyFont="1" applyBorder="1" applyAlignment="1">
      <alignment horizontal="center"/>
    </xf>
    <xf numFmtId="180" fontId="26" fillId="0" borderId="108" xfId="0" applyNumberFormat="1" applyFont="1" applyBorder="1" applyAlignment="1">
      <alignment horizontal="center"/>
    </xf>
    <xf numFmtId="0" fontId="26" fillId="0" borderId="106" xfId="0" applyFont="1" applyBorder="1" applyAlignment="1">
      <alignment horizontal="left" vertical="center" wrapText="1" indent="1"/>
    </xf>
    <xf numFmtId="0" fontId="26" fillId="0" borderId="107" xfId="0" applyFont="1" applyBorder="1" applyAlignment="1">
      <alignment horizontal="left" vertical="center" wrapText="1" indent="1"/>
    </xf>
    <xf numFmtId="0" fontId="26" fillId="0" borderId="109" xfId="0" applyFont="1" applyBorder="1" applyAlignment="1">
      <alignment horizontal="left" vertical="center" wrapText="1" indent="1"/>
    </xf>
    <xf numFmtId="0" fontId="26" fillId="0" borderId="0" xfId="0" applyFont="1" applyAlignment="1">
      <alignment horizontal="left" vertical="center" wrapText="1" indent="1"/>
    </xf>
    <xf numFmtId="0" fontId="26" fillId="0" borderId="111" xfId="0" applyFont="1" applyBorder="1" applyAlignment="1">
      <alignment horizontal="left" vertical="center" wrapText="1" indent="1"/>
    </xf>
    <xf numFmtId="0" fontId="26" fillId="0" borderId="112" xfId="0" applyFont="1" applyBorder="1" applyAlignment="1">
      <alignment horizontal="left" vertical="center" wrapText="1" indent="1"/>
    </xf>
    <xf numFmtId="0" fontId="0" fillId="0" borderId="112" xfId="0" applyBorder="1" applyAlignment="1">
      <alignment horizontal="center" vertical="center" wrapText="1"/>
    </xf>
    <xf numFmtId="0" fontId="0" fillId="0" borderId="0" xfId="0" applyAlignment="1">
      <alignment horizontal="center" vertical="center"/>
    </xf>
    <xf numFmtId="0" fontId="0" fillId="0" borderId="112" xfId="0" applyBorder="1" applyAlignment="1">
      <alignment horizontal="center" vertical="center"/>
    </xf>
    <xf numFmtId="0" fontId="0" fillId="0" borderId="110" xfId="0" applyBorder="1" applyAlignment="1">
      <alignment horizontal="center" vertical="center" wrapText="1"/>
    </xf>
    <xf numFmtId="0" fontId="0" fillId="0" borderId="113" xfId="0" applyBorder="1" applyAlignment="1">
      <alignment horizontal="center" vertical="center" wrapText="1"/>
    </xf>
    <xf numFmtId="0" fontId="7" fillId="2" borderId="0" xfId="0" applyFont="1" applyFill="1" applyAlignment="1">
      <alignment horizontal="center" vertical="center"/>
    </xf>
    <xf numFmtId="0" fontId="64" fillId="0" borderId="0" xfId="0" applyFont="1" applyAlignment="1">
      <alignment horizontal="left" vertical="center" wrapText="1"/>
    </xf>
    <xf numFmtId="0" fontId="66" fillId="9" borderId="56" xfId="0" applyFont="1" applyFill="1" applyBorder="1" applyAlignment="1">
      <alignment horizontal="left" vertical="center"/>
    </xf>
    <xf numFmtId="0" fontId="4" fillId="9" borderId="55" xfId="0" applyFont="1" applyFill="1" applyBorder="1" applyAlignment="1">
      <alignment horizontal="left" vertical="center"/>
    </xf>
    <xf numFmtId="167" fontId="3" fillId="7" borderId="0" xfId="1" applyNumberFormat="1" applyFont="1" applyFill="1" applyAlignment="1">
      <alignment horizontal="right" vertical="center"/>
    </xf>
    <xf numFmtId="0" fontId="0" fillId="7" borderId="0" xfId="0" applyFill="1" applyAlignment="1">
      <alignment horizontal="right" vertical="center"/>
    </xf>
    <xf numFmtId="180" fontId="26" fillId="0" borderId="107" xfId="1" applyNumberFormat="1" applyFont="1" applyBorder="1" applyAlignment="1">
      <alignment horizontal="center"/>
    </xf>
    <xf numFmtId="0" fontId="17" fillId="2" borderId="127" xfId="0" applyFont="1" applyFill="1" applyBorder="1" applyAlignment="1">
      <alignment horizontal="center"/>
    </xf>
    <xf numFmtId="0" fontId="17" fillId="2" borderId="128" xfId="0" applyFont="1" applyFill="1" applyBorder="1" applyAlignment="1">
      <alignment horizontal="center"/>
    </xf>
    <xf numFmtId="0" fontId="17" fillId="2" borderId="129" xfId="0" applyFont="1"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70" fontId="103" fillId="3" borderId="43" xfId="0" applyNumberFormat="1" applyFont="1" applyFill="1" applyBorder="1" applyAlignment="1">
      <alignment horizontal="center" vertical="center"/>
    </xf>
    <xf numFmtId="170" fontId="103" fillId="3" borderId="23" xfId="0" applyNumberFormat="1" applyFont="1" applyFill="1" applyBorder="1" applyAlignment="1">
      <alignment horizontal="center" vertical="center"/>
    </xf>
    <xf numFmtId="170" fontId="103" fillId="3" borderId="3" xfId="0" applyNumberFormat="1" applyFont="1" applyFill="1" applyBorder="1" applyAlignment="1">
      <alignment horizontal="center" vertical="center"/>
    </xf>
    <xf numFmtId="176" fontId="103" fillId="3" borderId="43" xfId="0" applyNumberFormat="1" applyFont="1" applyFill="1" applyBorder="1" applyAlignment="1">
      <alignment horizontal="center" vertical="center"/>
    </xf>
    <xf numFmtId="176" fontId="103" fillId="3" borderId="23" xfId="0" applyNumberFormat="1" applyFont="1" applyFill="1" applyBorder="1" applyAlignment="1">
      <alignment horizontal="center" vertical="center"/>
    </xf>
    <xf numFmtId="176" fontId="103" fillId="3" borderId="44" xfId="0" applyNumberFormat="1" applyFont="1" applyFill="1" applyBorder="1" applyAlignment="1">
      <alignment horizontal="center" vertical="center"/>
    </xf>
    <xf numFmtId="176" fontId="105" fillId="3" borderId="43" xfId="0" applyNumberFormat="1" applyFont="1" applyFill="1" applyBorder="1" applyAlignment="1">
      <alignment horizontal="center" vertical="center"/>
    </xf>
    <xf numFmtId="176" fontId="105" fillId="3" borderId="23" xfId="0" applyNumberFormat="1" applyFont="1" applyFill="1" applyBorder="1" applyAlignment="1">
      <alignment horizontal="center" vertical="center"/>
    </xf>
    <xf numFmtId="176" fontId="105" fillId="3" borderId="44" xfId="0" applyNumberFormat="1" applyFont="1" applyFill="1" applyBorder="1" applyAlignment="1">
      <alignment horizontal="center" vertical="center"/>
    </xf>
    <xf numFmtId="176" fontId="103" fillId="8" borderId="51" xfId="0" applyNumberFormat="1" applyFont="1" applyFill="1" applyBorder="1" applyAlignment="1">
      <alignment horizontal="center" vertical="center"/>
    </xf>
    <xf numFmtId="176" fontId="103" fillId="8" borderId="52" xfId="0" applyNumberFormat="1" applyFont="1" applyFill="1" applyBorder="1" applyAlignment="1">
      <alignment horizontal="center" vertical="center"/>
    </xf>
    <xf numFmtId="176" fontId="103" fillId="8" borderId="53" xfId="0" applyNumberFormat="1" applyFont="1" applyFill="1" applyBorder="1" applyAlignment="1">
      <alignment horizontal="center" vertical="center"/>
    </xf>
    <xf numFmtId="170" fontId="103" fillId="8" borderId="51" xfId="0" applyNumberFormat="1" applyFont="1" applyFill="1" applyBorder="1" applyAlignment="1">
      <alignment horizontal="center" vertical="center"/>
    </xf>
    <xf numFmtId="170" fontId="103" fillId="8" borderId="52" xfId="0" applyNumberFormat="1" applyFont="1" applyFill="1" applyBorder="1" applyAlignment="1">
      <alignment horizontal="center" vertical="center"/>
    </xf>
    <xf numFmtId="170" fontId="103" fillId="8" borderId="48" xfId="0" applyNumberFormat="1" applyFont="1" applyFill="1" applyBorder="1" applyAlignment="1">
      <alignment horizontal="center" vertical="center"/>
    </xf>
    <xf numFmtId="176" fontId="114" fillId="8" borderId="51" xfId="0" applyNumberFormat="1" applyFont="1" applyFill="1" applyBorder="1" applyAlignment="1">
      <alignment horizontal="center" vertical="center"/>
    </xf>
    <xf numFmtId="176" fontId="114" fillId="8" borderId="52" xfId="0" applyNumberFormat="1" applyFont="1" applyFill="1" applyBorder="1" applyAlignment="1">
      <alignment horizontal="center" vertical="center"/>
    </xf>
    <xf numFmtId="176" fontId="114" fillId="8" borderId="40" xfId="0" applyNumberFormat="1" applyFont="1" applyFill="1" applyBorder="1" applyAlignment="1">
      <alignment horizontal="center" vertical="center"/>
    </xf>
    <xf numFmtId="176" fontId="114" fillId="8" borderId="53" xfId="0" applyNumberFormat="1" applyFont="1" applyFill="1" applyBorder="1" applyAlignment="1">
      <alignment horizontal="center" vertical="center"/>
    </xf>
    <xf numFmtId="0" fontId="106" fillId="4" borderId="0" xfId="0" applyFont="1" applyFill="1" applyAlignment="1">
      <alignment horizontal="center" vertical="center"/>
    </xf>
    <xf numFmtId="176" fontId="103" fillId="0" borderId="23" xfId="0" applyNumberFormat="1" applyFont="1" applyBorder="1" applyAlignment="1">
      <alignment horizontal="center" vertical="center"/>
    </xf>
    <xf numFmtId="170" fontId="104" fillId="10" borderId="43" xfId="0" applyNumberFormat="1" applyFont="1" applyFill="1" applyBorder="1" applyAlignment="1">
      <alignment horizontal="center" vertical="center"/>
    </xf>
    <xf numFmtId="170" fontId="104" fillId="10" borderId="23" xfId="0" applyNumberFormat="1" applyFont="1" applyFill="1" applyBorder="1" applyAlignment="1">
      <alignment horizontal="center" vertical="center"/>
    </xf>
    <xf numFmtId="170" fontId="104" fillId="10" borderId="3" xfId="0" applyNumberFormat="1" applyFont="1" applyFill="1" applyBorder="1" applyAlignment="1">
      <alignment horizontal="center" vertical="center"/>
    </xf>
    <xf numFmtId="176" fontId="103" fillId="0" borderId="49" xfId="0" applyNumberFormat="1" applyFont="1" applyBorder="1" applyAlignment="1">
      <alignment horizontal="center" vertical="center" wrapText="1"/>
    </xf>
    <xf numFmtId="176" fontId="103" fillId="0" borderId="20" xfId="0" applyNumberFormat="1" applyFont="1" applyBorder="1" applyAlignment="1">
      <alignment horizontal="center" vertical="center"/>
    </xf>
    <xf numFmtId="176" fontId="103" fillId="0" borderId="43" xfId="0" applyNumberFormat="1" applyFont="1" applyBorder="1" applyAlignment="1">
      <alignment horizontal="center" vertical="center"/>
    </xf>
    <xf numFmtId="176" fontId="103" fillId="0" borderId="44" xfId="0" applyNumberFormat="1" applyFont="1" applyBorder="1" applyAlignment="1">
      <alignment horizontal="center" vertical="center"/>
    </xf>
    <xf numFmtId="170" fontId="103" fillId="56" borderId="51" xfId="0" applyNumberFormat="1" applyFont="1" applyFill="1" applyBorder="1" applyAlignment="1">
      <alignment horizontal="center" vertical="center"/>
    </xf>
    <xf numFmtId="170" fontId="103" fillId="56" borderId="52" xfId="0" applyNumberFormat="1" applyFont="1" applyFill="1" applyBorder="1" applyAlignment="1">
      <alignment horizontal="center" vertical="center"/>
    </xf>
    <xf numFmtId="170" fontId="103" fillId="56" borderId="48" xfId="0" applyNumberFormat="1" applyFont="1" applyFill="1" applyBorder="1" applyAlignment="1">
      <alignment horizontal="center" vertical="center"/>
    </xf>
    <xf numFmtId="0" fontId="102" fillId="10" borderId="4" xfId="0" applyFont="1" applyFill="1" applyBorder="1" applyAlignment="1">
      <alignment horizontal="center" vertical="center"/>
    </xf>
    <xf numFmtId="0" fontId="102" fillId="10" borderId="44" xfId="0" applyFont="1" applyFill="1" applyBorder="1" applyAlignment="1">
      <alignment horizontal="center" vertical="center"/>
    </xf>
    <xf numFmtId="0" fontId="107" fillId="3" borderId="2" xfId="0" applyFont="1" applyFill="1" applyBorder="1" applyAlignment="1">
      <alignment horizontal="right" vertical="center" wrapText="1" indent="1"/>
    </xf>
    <xf numFmtId="0" fontId="107" fillId="3" borderId="98" xfId="0" applyFont="1" applyFill="1" applyBorder="1" applyAlignment="1">
      <alignment horizontal="right" vertical="center" wrapText="1" indent="1"/>
    </xf>
    <xf numFmtId="0" fontId="107" fillId="3" borderId="1" xfId="0" applyFont="1" applyFill="1" applyBorder="1" applyAlignment="1">
      <alignment horizontal="right" vertical="center" wrapText="1" indent="1"/>
    </xf>
    <xf numFmtId="0" fontId="104" fillId="10" borderId="101" xfId="0" applyFont="1" applyFill="1" applyBorder="1" applyAlignment="1">
      <alignment horizontal="right" vertical="center" wrapText="1" indent="1"/>
    </xf>
    <xf numFmtId="0" fontId="104" fillId="10" borderId="37" xfId="0" applyFont="1" applyFill="1" applyBorder="1" applyAlignment="1">
      <alignment horizontal="right" vertical="center" wrapText="1" indent="1"/>
    </xf>
    <xf numFmtId="0" fontId="104" fillId="10" borderId="36" xfId="0" applyFont="1" applyFill="1" applyBorder="1" applyAlignment="1">
      <alignment horizontal="right" vertical="center" wrapText="1" indent="1"/>
    </xf>
    <xf numFmtId="0" fontId="104" fillId="10" borderId="102" xfId="0" applyFont="1" applyFill="1" applyBorder="1" applyAlignment="1">
      <alignment horizontal="right" vertical="center" wrapText="1" indent="1"/>
    </xf>
    <xf numFmtId="0" fontId="104" fillId="10" borderId="103" xfId="0" applyFont="1" applyFill="1" applyBorder="1" applyAlignment="1">
      <alignment horizontal="right" vertical="center" wrapText="1" indent="1"/>
    </xf>
    <xf numFmtId="0" fontId="104" fillId="10" borderId="104" xfId="0" applyFont="1" applyFill="1" applyBorder="1" applyAlignment="1">
      <alignment horizontal="right" vertical="center" wrapText="1" indent="1"/>
    </xf>
    <xf numFmtId="0" fontId="107" fillId="3" borderId="2" xfId="0" applyFont="1" applyFill="1" applyBorder="1" applyAlignment="1">
      <alignment horizontal="right" vertical="center" indent="1"/>
    </xf>
    <xf numFmtId="0" fontId="107" fillId="3" borderId="98" xfId="0" applyFont="1" applyFill="1" applyBorder="1" applyAlignment="1">
      <alignment horizontal="right" vertical="center" indent="1"/>
    </xf>
    <xf numFmtId="0" fontId="0" fillId="9" borderId="8" xfId="0" applyFill="1" applyBorder="1" applyAlignment="1">
      <alignment horizontal="center"/>
    </xf>
    <xf numFmtId="0" fontId="0" fillId="9" borderId="39" xfId="0" applyFill="1" applyBorder="1" applyAlignment="1">
      <alignment horizontal="center"/>
    </xf>
    <xf numFmtId="0" fontId="0" fillId="9" borderId="7" xfId="0" applyFill="1" applyBorder="1" applyAlignment="1">
      <alignment horizontal="center"/>
    </xf>
    <xf numFmtId="0" fontId="0" fillId="9" borderId="24" xfId="0" applyFill="1" applyBorder="1" applyAlignment="1">
      <alignment horizontal="center"/>
    </xf>
    <xf numFmtId="0" fontId="0" fillId="9" borderId="0" xfId="0" applyFill="1" applyAlignment="1">
      <alignment horizontal="center"/>
    </xf>
    <xf numFmtId="0" fontId="0" fillId="9" borderId="35" xfId="0" applyFill="1" applyBorder="1" applyAlignment="1">
      <alignment horizontal="center"/>
    </xf>
    <xf numFmtId="0" fontId="0" fillId="9" borderId="6" xfId="0" applyFill="1" applyBorder="1" applyAlignment="1">
      <alignment horizontal="center"/>
    </xf>
    <xf numFmtId="0" fontId="0" fillId="9" borderId="40" xfId="0" applyFill="1" applyBorder="1" applyAlignment="1">
      <alignment horizontal="center"/>
    </xf>
    <xf numFmtId="0" fontId="0" fillId="9" borderId="5" xfId="0" applyFill="1" applyBorder="1" applyAlignment="1">
      <alignment horizontal="center"/>
    </xf>
    <xf numFmtId="0" fontId="76" fillId="9" borderId="1" xfId="0" applyFont="1" applyFill="1" applyBorder="1" applyAlignment="1">
      <alignment horizontal="center" vertical="center" textRotation="90" wrapText="1"/>
    </xf>
    <xf numFmtId="0" fontId="80" fillId="51" borderId="4" xfId="0" applyFont="1" applyFill="1" applyBorder="1" applyAlignment="1">
      <alignment horizontal="center" vertical="center"/>
    </xf>
    <xf numFmtId="0" fontId="80" fillId="51" borderId="23" xfId="0" applyFont="1" applyFill="1" applyBorder="1" applyAlignment="1">
      <alignment horizontal="center" vertical="center"/>
    </xf>
    <xf numFmtId="0" fontId="80" fillId="51" borderId="3" xfId="0" applyFont="1" applyFill="1" applyBorder="1" applyAlignment="1">
      <alignment horizontal="center" vertical="center"/>
    </xf>
    <xf numFmtId="0" fontId="79" fillId="4" borderId="4" xfId="0" applyFont="1" applyFill="1" applyBorder="1" applyAlignment="1">
      <alignment horizontal="center"/>
    </xf>
    <xf numFmtId="0" fontId="79" fillId="4" borderId="23" xfId="0" applyFont="1" applyFill="1" applyBorder="1" applyAlignment="1">
      <alignment horizontal="center"/>
    </xf>
    <xf numFmtId="0" fontId="79" fillId="4" borderId="3" xfId="0" applyFont="1" applyFill="1" applyBorder="1" applyAlignment="1">
      <alignment horizontal="center"/>
    </xf>
    <xf numFmtId="0" fontId="75" fillId="49" borderId="0" xfId="0" applyFont="1" applyFill="1" applyAlignment="1">
      <alignment horizontal="center" vertical="center" wrapText="1"/>
    </xf>
    <xf numFmtId="0" fontId="72" fillId="9" borderId="1" xfId="0" applyFont="1" applyFill="1" applyBorder="1" applyAlignment="1">
      <alignment horizontal="center" vertical="center" textRotation="90" wrapText="1"/>
    </xf>
    <xf numFmtId="0" fontId="72" fillId="9" borderId="1" xfId="0" applyFont="1" applyFill="1" applyBorder="1" applyAlignment="1">
      <alignment horizontal="center" vertical="center" textRotation="90"/>
    </xf>
  </cellXfs>
  <cellStyles count="51">
    <cellStyle name="20% - Accent1 2" xfId="6" xr:uid="{E2994605-DDD6-4B6B-B97D-AA41121E0044}"/>
    <cellStyle name="20% - Accent2 2" xfId="7" xr:uid="{1A93187D-C68A-4B3D-A119-9B988BFE7D3F}"/>
    <cellStyle name="20% - Accent3 2" xfId="8" xr:uid="{EA7AE8AC-E70F-427C-9325-DC073672B079}"/>
    <cellStyle name="20% - Accent4 2" xfId="9" xr:uid="{BDE9C3BD-0AE1-402B-9AC4-DB6FC822C069}"/>
    <cellStyle name="20% - Accent5 2" xfId="10" xr:uid="{437F6D4B-CF9A-4BC3-ABF3-B3A9591933DF}"/>
    <cellStyle name="20% - Accent6 2" xfId="11" xr:uid="{31456886-91A5-4B1C-83F5-3A8804A86275}"/>
    <cellStyle name="40% - Accent1 2" xfId="12" xr:uid="{AF65C35E-B823-4DA4-A11A-F5B6DE4D508C}"/>
    <cellStyle name="40% - Accent2 2" xfId="13" xr:uid="{24BE3D6B-8B85-459D-9BFB-B3A6698CF06A}"/>
    <cellStyle name="40% - Accent3 2" xfId="14" xr:uid="{0985D1A1-51AD-41B2-8035-01B612A7DE85}"/>
    <cellStyle name="40% - Accent4 2" xfId="15" xr:uid="{177E1BF0-9AEC-4F04-991D-F1F169FB9AA7}"/>
    <cellStyle name="40% - Accent5 2" xfId="16" xr:uid="{EE538BFB-54B2-4B03-8F6A-38955842028F}"/>
    <cellStyle name="40% - Accent6 2" xfId="17" xr:uid="{064E7FDB-C0AD-46F7-AFB3-CDBFE885D17F}"/>
    <cellStyle name="60% - Accent1 2" xfId="18" xr:uid="{A1B966E8-E9BC-49C9-BBE7-CAAAFE57EA49}"/>
    <cellStyle name="60% - Accent2 2" xfId="19" xr:uid="{64F4B27B-FB2B-4B51-AE54-D1E1F7BC079A}"/>
    <cellStyle name="60% - Accent3 2" xfId="20" xr:uid="{7E5800F6-7F22-4529-AEF8-44AF81B9E47D}"/>
    <cellStyle name="60% - Accent4 2" xfId="21" xr:uid="{BDECBA4C-D703-4C65-8714-2FF59BC8A90D}"/>
    <cellStyle name="60% - Accent5 2" xfId="22" xr:uid="{58A7C787-4EB7-45E1-A12F-5C11A904732D}"/>
    <cellStyle name="60% - Accent6 2" xfId="23" xr:uid="{7582806A-AD14-4720-8EA9-2D5AF5BE14FB}"/>
    <cellStyle name="Accent1 2" xfId="24" xr:uid="{C047B809-A256-49DC-B0A2-0400207BCA1B}"/>
    <cellStyle name="Accent2 2" xfId="25" xr:uid="{BE95CF18-EC12-4914-8A5B-2D0F4F49DFEB}"/>
    <cellStyle name="Accent3 2" xfId="26" xr:uid="{35D5D550-211C-4753-9AF9-68B306594005}"/>
    <cellStyle name="Accent4 2" xfId="27" xr:uid="{FA4DC82C-844D-4046-B992-2754CB8D952A}"/>
    <cellStyle name="Accent5 2" xfId="28" xr:uid="{83510AB4-9FC8-41CF-8E2F-8C758043B305}"/>
    <cellStyle name="Accent6 2" xfId="29" xr:uid="{4A182451-0D09-4468-AD6F-EB1FA307674C}"/>
    <cellStyle name="Bad 2" xfId="30" xr:uid="{A1504863-501C-48FD-AAD2-EC3C581A114C}"/>
    <cellStyle name="Calculation 2" xfId="32" xr:uid="{19637AAA-6AD6-42EB-8BB8-69BD1FE1BF6B}"/>
    <cellStyle name="Calculation 3" xfId="31" xr:uid="{4148FFC6-1AFE-4DD0-8DDE-D6A1FF7B5C58}"/>
    <cellStyle name="Check Cell 2" xfId="33" xr:uid="{0FAFEB11-2413-463A-B74D-D53688E7333B}"/>
    <cellStyle name="Comma" xfId="1" builtinId="3"/>
    <cellStyle name="Comma 2" xfId="35" xr:uid="{E80E8333-91D1-474C-AACF-5AC63C3A2B38}"/>
    <cellStyle name="Comma 3" xfId="34" xr:uid="{53B2BAA6-6E05-42BB-A3DA-A9EC925C46D0}"/>
    <cellStyle name="Explanatory Text 2" xfId="36" xr:uid="{E5B8BBC6-9851-4369-9FC6-62453F47975E}"/>
    <cellStyle name="Followed Hyperlink 2" xfId="37" xr:uid="{606302FA-39D6-420D-964E-3A0C04D3BCD3}"/>
    <cellStyle name="Good 2" xfId="38" xr:uid="{C3790C19-0D03-4E3C-A540-E4ED70B90F05}"/>
    <cellStyle name="Hyperlink" xfId="2" builtinId="8"/>
    <cellStyle name="Hyperlink 2" xfId="39" xr:uid="{1E629072-66E9-43A2-8BE3-551ABDEDEDB1}"/>
    <cellStyle name="Input 2" xfId="40" xr:uid="{CFE3F2C1-A576-43AD-846C-DAD3B9E5CDDC}"/>
    <cellStyle name="Input data" xfId="41" xr:uid="{57E4B22F-25B1-436F-868B-05CAFD493DC5}"/>
    <cellStyle name="Linked Cell 2" xfId="42" xr:uid="{892E4FFC-1249-4D7D-ACD7-C16F343A62C3}"/>
    <cellStyle name="Neutral 2" xfId="43" xr:uid="{1357DB90-B779-4590-B3AE-52E4B0E12D29}"/>
    <cellStyle name="Normal" xfId="0" builtinId="0"/>
    <cellStyle name="Normal 2" xfId="5" xr:uid="{638184CB-AA74-4E23-BE89-49A882E578CD}"/>
    <cellStyle name="Normal 2 2" xfId="4" xr:uid="{402F8FBB-EFA4-4C63-9FE5-3C930794E27C}"/>
    <cellStyle name="Normal 2 2 2" xfId="44" xr:uid="{60BCA085-FA34-48B4-A09F-88DF958AF45F}"/>
    <cellStyle name="Note 2" xfId="45" xr:uid="{E0413717-F8F7-49FF-8988-87FFDF02BFE6}"/>
    <cellStyle name="Output 2" xfId="46" xr:uid="{3554442B-9C0B-4581-BC8B-AE3D17F4D53B}"/>
    <cellStyle name="Percent" xfId="3" builtinId="5"/>
    <cellStyle name="Percent 2" xfId="47" xr:uid="{460F5BDF-CCD5-464E-ADEF-910BECCDFE5B}"/>
    <cellStyle name="Selection" xfId="48" xr:uid="{C242F517-85E0-4392-974B-A1E10E31B586}"/>
    <cellStyle name="Title 2" xfId="49" xr:uid="{907047F4-8E84-427C-BBB6-2527661C354D}"/>
    <cellStyle name="Warning Text 2" xfId="50" xr:uid="{AA620204-95E5-4B84-9684-207EB323B07E}"/>
  </cellStyles>
  <dxfs count="38">
    <dxf>
      <font>
        <strike val="0"/>
        <u val="none"/>
        <color theme="0" tint="-0.499984740745262"/>
      </font>
      <fill>
        <patternFill>
          <fgColor theme="0" tint="-0.499984740745262"/>
          <bgColor theme="0" tint="-0.499984740745262"/>
        </patternFill>
      </fill>
    </dxf>
    <dxf>
      <font>
        <strike val="0"/>
        <u val="none"/>
        <color theme="0" tint="-0.499984740745262"/>
      </font>
      <fill>
        <patternFill>
          <fgColor theme="0" tint="-0.499984740745262"/>
          <bgColor theme="0" tint="-0.499984740745262"/>
        </patternFill>
      </fill>
    </dxf>
    <dxf>
      <font>
        <color auto="1"/>
      </font>
      <fill>
        <patternFill>
          <bgColor theme="1"/>
        </patternFill>
      </fill>
    </dxf>
    <dxf>
      <font>
        <color theme="1"/>
      </font>
      <fill>
        <patternFill>
          <bgColor theme="4" tint="0.79998168889431442"/>
        </patternFill>
      </fill>
    </dxf>
    <dxf>
      <font>
        <color theme="1"/>
      </font>
      <fill>
        <patternFill>
          <bgColor theme="4" tint="0.79998168889431442"/>
        </patternFill>
      </fill>
    </dxf>
    <dxf>
      <fill>
        <patternFill>
          <bgColor theme="4" tint="0.79998168889431442"/>
        </patternFill>
      </fill>
    </dxf>
    <dxf>
      <fill>
        <patternFill>
          <bgColor theme="1"/>
        </patternFill>
      </fill>
    </dxf>
    <dxf>
      <fill>
        <patternFill>
          <bgColor theme="1"/>
        </patternFill>
      </fill>
    </dxf>
    <dxf>
      <fill>
        <patternFill>
          <bgColor theme="1"/>
        </patternFill>
      </fill>
    </dxf>
    <dxf>
      <fill>
        <patternFill>
          <bgColor theme="4" tint="0.79998168889431442"/>
        </patternFill>
      </fill>
    </dxf>
    <dxf>
      <font>
        <color theme="1"/>
      </font>
      <fill>
        <patternFill>
          <bgColor theme="1"/>
        </patternFill>
      </fill>
    </dxf>
    <dxf>
      <font>
        <color theme="1"/>
      </font>
      <fill>
        <patternFill>
          <bgColor theme="1"/>
        </patternFill>
      </fill>
    </dxf>
    <dxf>
      <font>
        <color theme="1"/>
      </font>
      <fill>
        <patternFill>
          <bgColor theme="1"/>
        </patternFill>
      </fill>
    </dxf>
    <dxf>
      <fill>
        <patternFill>
          <bgColor theme="1"/>
        </patternFill>
      </fill>
    </dxf>
    <dxf>
      <fill>
        <patternFill patternType="solid">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strike val="0"/>
        <u val="none"/>
        <color theme="0" tint="-0.499984740745262"/>
      </font>
      <fill>
        <patternFill>
          <fgColor theme="0" tint="-0.499984740745262"/>
          <bgColor theme="0" tint="-0.499984740745262"/>
        </patternFill>
      </fill>
      <border>
        <top style="thin">
          <color theme="0" tint="-0.499984740745262"/>
        </top>
        <bottom style="thin">
          <color theme="0" tint="-0.499984740745262"/>
        </bottom>
      </border>
    </dxf>
    <dxf>
      <font>
        <strike val="0"/>
        <u val="none"/>
        <color theme="0" tint="-0.499984740745262"/>
      </font>
      <fill>
        <patternFill>
          <fgColor theme="0" tint="-0.499984740745262"/>
          <bgColor theme="0" tint="-0.499984740745262"/>
        </patternFill>
      </fill>
      <border>
        <top style="thin">
          <color theme="0" tint="-0.499984740745262"/>
        </top>
        <bottom style="thin">
          <color theme="0" tint="-0.499984740745262"/>
        </bottom>
      </border>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ont>
        <color theme="0" tint="-0.34998626667073579"/>
      </font>
      <fill>
        <patternFill>
          <bgColor theme="0" tint="-0.34998626667073579"/>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589F-4FC8-8B9B-84F31EF088AE}"/>
              </c:ext>
            </c:extLst>
          </c:dPt>
          <c:dPt>
            <c:idx val="1"/>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1-589F-4FC8-8B9B-84F31EF088AE}"/>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(Report!$E$16,Report!$E$22)</c:f>
              <c:numCache>
                <c:formatCode>#,##0.0</c:formatCode>
                <c:ptCount val="2"/>
                <c:pt idx="0">
                  <c:v>0</c:v>
                </c:pt>
                <c:pt idx="1">
                  <c:v>0</c:v>
                </c:pt>
              </c:numCache>
            </c:numRef>
          </c:val>
          <c:extLst>
            <c:ext xmlns:c16="http://schemas.microsoft.com/office/drawing/2014/chart" uri="{C3380CC4-5D6E-409C-BE32-E72D297353CC}">
              <c16:uniqueId val="{00000000-589F-4FC8-8B9B-84F31EF088AE}"/>
            </c:ext>
          </c:extLst>
        </c:ser>
        <c:dLbls>
          <c:showLegendKey val="0"/>
          <c:showVal val="0"/>
          <c:showCatName val="0"/>
          <c:showSerName val="0"/>
          <c:showPercent val="0"/>
          <c:showBubbleSize val="0"/>
          <c:showLeaderLines val="1"/>
        </c:dLbls>
        <c:firstSliceAng val="0"/>
        <c:holeSize val="51"/>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Report!$B$17:$B$20</c:f>
              <c:strCache>
                <c:ptCount val="4"/>
                <c:pt idx="0">
                  <c:v>Stationary emissions</c:v>
                </c:pt>
                <c:pt idx="1">
                  <c:v>Non-stationary emissions</c:v>
                </c:pt>
                <c:pt idx="2">
                  <c:v>Fugitive emissions</c:v>
                </c:pt>
                <c:pt idx="3">
                  <c:v>Biogenic emissions</c:v>
                </c:pt>
              </c:strCache>
            </c:strRef>
          </c:cat>
          <c:val>
            <c:numRef>
              <c:f>Report!$E$17:$E$20</c:f>
              <c:numCache>
                <c:formatCode>#,##0.0</c:formatCode>
                <c:ptCount val="4"/>
                <c:pt idx="0">
                  <c:v>0</c:v>
                </c:pt>
                <c:pt idx="1">
                  <c:v>0</c:v>
                </c:pt>
                <c:pt idx="2">
                  <c:v>0</c:v>
                </c:pt>
                <c:pt idx="3">
                  <c:v>0</c:v>
                </c:pt>
              </c:numCache>
            </c:numRef>
          </c:val>
          <c:extLst>
            <c:ext xmlns:c16="http://schemas.microsoft.com/office/drawing/2014/chart" uri="{C3380CC4-5D6E-409C-BE32-E72D297353CC}">
              <c16:uniqueId val="{00000004-8A90-475D-8F6B-4639D6A15709}"/>
            </c:ext>
          </c:extLst>
        </c:ser>
        <c:dLbls>
          <c:showLegendKey val="0"/>
          <c:showVal val="0"/>
          <c:showCatName val="0"/>
          <c:showSerName val="0"/>
          <c:showPercent val="0"/>
          <c:showBubbleSize val="0"/>
        </c:dLbls>
        <c:gapWidth val="100"/>
        <c:axId val="685710719"/>
        <c:axId val="1947629807"/>
      </c:barChart>
      <c:catAx>
        <c:axId val="6857107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947629807"/>
        <c:crosses val="autoZero"/>
        <c:auto val="1"/>
        <c:lblAlgn val="ctr"/>
        <c:lblOffset val="100"/>
        <c:noMultiLvlLbl val="0"/>
      </c:catAx>
      <c:valAx>
        <c:axId val="1947629807"/>
        <c:scaling>
          <c:orientation val="minMax"/>
        </c:scaling>
        <c:delete val="1"/>
        <c:axPos val="l"/>
        <c:numFmt formatCode="#,##0.0" sourceLinked="1"/>
        <c:majorTickMark val="out"/>
        <c:minorTickMark val="none"/>
        <c:tickLblPos val="nextTo"/>
        <c:crossAx val="6857107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Report!$B$23:$B$24</c:f>
              <c:strCache>
                <c:ptCount val="2"/>
                <c:pt idx="0">
                  <c:v>Electricity</c:v>
                </c:pt>
                <c:pt idx="1">
                  <c:v>Heating/cooling energy</c:v>
                </c:pt>
              </c:strCache>
            </c:strRef>
          </c:cat>
          <c:val>
            <c:numRef>
              <c:f>Report!$E$23:$E$24</c:f>
              <c:numCache>
                <c:formatCode>#,##0.0</c:formatCode>
                <c:ptCount val="2"/>
                <c:pt idx="0">
                  <c:v>0</c:v>
                </c:pt>
                <c:pt idx="1">
                  <c:v>0</c:v>
                </c:pt>
              </c:numCache>
            </c:numRef>
          </c:val>
          <c:extLst>
            <c:ext xmlns:c16="http://schemas.microsoft.com/office/drawing/2014/chart" uri="{C3380CC4-5D6E-409C-BE32-E72D297353CC}">
              <c16:uniqueId val="{00000000-C940-40B4-AB19-99BFF7B7E1B2}"/>
            </c:ext>
          </c:extLst>
        </c:ser>
        <c:dLbls>
          <c:dLblPos val="outEnd"/>
          <c:showLegendKey val="0"/>
          <c:showVal val="1"/>
          <c:showCatName val="0"/>
          <c:showSerName val="0"/>
          <c:showPercent val="0"/>
          <c:showBubbleSize val="0"/>
        </c:dLbls>
        <c:gapWidth val="100"/>
        <c:axId val="685710719"/>
        <c:axId val="1947629807"/>
      </c:barChart>
      <c:catAx>
        <c:axId val="6857107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947629807"/>
        <c:crosses val="autoZero"/>
        <c:auto val="1"/>
        <c:lblAlgn val="ctr"/>
        <c:lblOffset val="100"/>
        <c:noMultiLvlLbl val="0"/>
      </c:catAx>
      <c:valAx>
        <c:axId val="1947629807"/>
        <c:scaling>
          <c:orientation val="minMax"/>
        </c:scaling>
        <c:delete val="1"/>
        <c:axPos val="l"/>
        <c:numFmt formatCode="#,##0.0" sourceLinked="1"/>
        <c:majorTickMark val="out"/>
        <c:minorTickMark val="none"/>
        <c:tickLblPos val="nextTo"/>
        <c:crossAx val="6857107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plotArea>
      <cx:plotAreaRegion>
        <cx:series layoutId="waterfall" uniqueId="{4108163B-ED5A-4550-81A7-B5C70D8381D4}">
          <cx:dataLabels pos="ctr">
            <cx:numFmt formatCode="# ##0" sourceLinked="0"/>
            <cx:visibility seriesName="0" categoryName="0" value="1"/>
            <cx:separator>, </cx:separator>
          </cx:dataLabels>
          <cx:dataId val="0"/>
          <cx:layoutPr>
            <cx:subtotals/>
          </cx:layoutPr>
        </cx:series>
      </cx:plotAreaRegion>
      <cx:axis id="0">
        <cx:catScaling gapWidth="0.5"/>
        <cx:tickLabels/>
      </cx:axis>
      <cx:axis id="1" hidden="1">
        <cx:valScaling/>
        <cx:tickLabels/>
        <cx:spPr>
          <a:ln>
            <a:noFill/>
          </a:ln>
        </cx:sp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3.png"/><Relationship Id="rId7" Type="http://schemas.openxmlformats.org/officeDocument/2006/relationships/image" Target="../media/image6.sv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chart" Target="../charts/chart1.xml"/><Relationship Id="rId10" Type="http://schemas.microsoft.com/office/2014/relationships/chartEx" Target="../charts/chartEx1.xml"/><Relationship Id="rId4" Type="http://schemas.openxmlformats.org/officeDocument/2006/relationships/image" Target="../media/image4.svg"/><Relationship Id="rId9"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13</xdr:col>
      <xdr:colOff>0</xdr:colOff>
      <xdr:row>7</xdr:row>
      <xdr:rowOff>151823</xdr:rowOff>
    </xdr:from>
    <xdr:to>
      <xdr:col>13</xdr:col>
      <xdr:colOff>0</xdr:colOff>
      <xdr:row>13</xdr:row>
      <xdr:rowOff>16164</xdr:rowOff>
    </xdr:to>
    <xdr:sp macro="" textlink="">
      <xdr:nvSpPr>
        <xdr:cNvPr id="10" name="Rectangle 9">
          <a:extLst>
            <a:ext uri="{FF2B5EF4-FFF2-40B4-BE49-F238E27FC236}">
              <a16:creationId xmlns:a16="http://schemas.microsoft.com/office/drawing/2014/main" id="{00000000-0008-0000-0400-00000A000000}"/>
            </a:ext>
          </a:extLst>
        </xdr:cNvPr>
        <xdr:cNvSpPr/>
      </xdr:nvSpPr>
      <xdr:spPr>
        <a:xfrm>
          <a:off x="6754091" y="1335232"/>
          <a:ext cx="0" cy="109970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100"/>
            <a:t>Graf</a:t>
          </a:r>
          <a:endParaRPr lang="pl-PL" sz="1100" baseline="0"/>
        </a:p>
      </xdr:txBody>
    </xdr:sp>
    <xdr:clientData/>
  </xdr:twoCellAnchor>
  <xdr:twoCellAnchor editAs="oneCell">
    <xdr:from>
      <xdr:col>3</xdr:col>
      <xdr:colOff>205632</xdr:colOff>
      <xdr:row>10</xdr:row>
      <xdr:rowOff>119304</xdr:rowOff>
    </xdr:from>
    <xdr:to>
      <xdr:col>4</xdr:col>
      <xdr:colOff>102076</xdr:colOff>
      <xdr:row>13</xdr:row>
      <xdr:rowOff>28832</xdr:rowOff>
    </xdr:to>
    <xdr:pic>
      <xdr:nvPicPr>
        <xdr:cNvPr id="13" name="Graphic 12" descr="Deciduous tree with solid fill">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31799" y="1847915"/>
          <a:ext cx="492991" cy="530417"/>
        </a:xfrm>
        <a:prstGeom prst="rect">
          <a:avLst/>
        </a:prstGeom>
      </xdr:spPr>
    </xdr:pic>
    <xdr:clientData/>
  </xdr:twoCellAnchor>
  <xdr:twoCellAnchor editAs="oneCell">
    <xdr:from>
      <xdr:col>6</xdr:col>
      <xdr:colOff>313656</xdr:colOff>
      <xdr:row>10</xdr:row>
      <xdr:rowOff>55098</xdr:rowOff>
    </xdr:from>
    <xdr:to>
      <xdr:col>7</xdr:col>
      <xdr:colOff>371382</xdr:colOff>
      <xdr:row>13</xdr:row>
      <xdr:rowOff>105063</xdr:rowOff>
    </xdr:to>
    <xdr:pic>
      <xdr:nvPicPr>
        <xdr:cNvPr id="15" name="Graphic 14" descr="Car with solid fill">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38712" y="1783709"/>
          <a:ext cx="667678" cy="664504"/>
        </a:xfrm>
        <a:prstGeom prst="rect">
          <a:avLst/>
        </a:prstGeom>
      </xdr:spPr>
    </xdr:pic>
    <xdr:clientData/>
  </xdr:twoCellAnchor>
  <xdr:twoCellAnchor>
    <xdr:from>
      <xdr:col>1</xdr:col>
      <xdr:colOff>49742</xdr:colOff>
      <xdr:row>34</xdr:row>
      <xdr:rowOff>12120</xdr:rowOff>
    </xdr:from>
    <xdr:to>
      <xdr:col>4</xdr:col>
      <xdr:colOff>931334</xdr:colOff>
      <xdr:row>45</xdr:row>
      <xdr:rowOff>137582</xdr:rowOff>
    </xdr:to>
    <xdr:graphicFrame macro="">
      <xdr:nvGraphicFramePr>
        <xdr:cNvPr id="16" name="Chart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131234</xdr:colOff>
      <xdr:row>44</xdr:row>
      <xdr:rowOff>165099</xdr:rowOff>
    </xdr:from>
    <xdr:to>
      <xdr:col>1</xdr:col>
      <xdr:colOff>264584</xdr:colOff>
      <xdr:row>45</xdr:row>
      <xdr:rowOff>113241</xdr:rowOff>
    </xdr:to>
    <xdr:sp macro="" textlink="">
      <xdr:nvSpPr>
        <xdr:cNvPr id="17" name="Rectangle 16">
          <a:extLst>
            <a:ext uri="{FF2B5EF4-FFF2-40B4-BE49-F238E27FC236}">
              <a16:creationId xmlns:a16="http://schemas.microsoft.com/office/drawing/2014/main" id="{00000000-0008-0000-0400-000011000000}"/>
            </a:ext>
          </a:extLst>
        </xdr:cNvPr>
        <xdr:cNvSpPr/>
      </xdr:nvSpPr>
      <xdr:spPr>
        <a:xfrm>
          <a:off x="374651" y="9446682"/>
          <a:ext cx="133350" cy="128059"/>
        </a:xfrm>
        <a:prstGeom prst="rect">
          <a:avLst/>
        </a:prstGeom>
        <a:solidFill>
          <a:schemeClr val="accent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xdr:col>
      <xdr:colOff>216959</xdr:colOff>
      <xdr:row>44</xdr:row>
      <xdr:rowOff>92074</xdr:rowOff>
    </xdr:from>
    <xdr:ext cx="631198" cy="264560"/>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460376" y="9373657"/>
          <a:ext cx="6311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1100"/>
            <a:t>Scope 1</a:t>
          </a:r>
          <a:endParaRPr lang="en-US" sz="1100"/>
        </a:p>
      </xdr:txBody>
    </xdr:sp>
    <xdr:clientData/>
  </xdr:oneCellAnchor>
  <xdr:oneCellAnchor>
    <xdr:from>
      <xdr:col>4</xdr:col>
      <xdr:colOff>332316</xdr:colOff>
      <xdr:row>44</xdr:row>
      <xdr:rowOff>95248</xdr:rowOff>
    </xdr:from>
    <xdr:ext cx="631198" cy="264560"/>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2872316" y="9376831"/>
          <a:ext cx="6311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1100"/>
            <a:t>Scope 2</a:t>
          </a:r>
          <a:endParaRPr lang="en-US" sz="1100"/>
        </a:p>
      </xdr:txBody>
    </xdr:sp>
    <xdr:clientData/>
  </xdr:oneCellAnchor>
  <xdr:twoCellAnchor>
    <xdr:from>
      <xdr:col>4</xdr:col>
      <xdr:colOff>234950</xdr:colOff>
      <xdr:row>44</xdr:row>
      <xdr:rowOff>170389</xdr:rowOff>
    </xdr:from>
    <xdr:to>
      <xdr:col>4</xdr:col>
      <xdr:colOff>377825</xdr:colOff>
      <xdr:row>45</xdr:row>
      <xdr:rowOff>118531</xdr:rowOff>
    </xdr:to>
    <xdr:sp macro="" textlink="">
      <xdr:nvSpPr>
        <xdr:cNvPr id="20" name="Rectangle 19">
          <a:extLst>
            <a:ext uri="{FF2B5EF4-FFF2-40B4-BE49-F238E27FC236}">
              <a16:creationId xmlns:a16="http://schemas.microsoft.com/office/drawing/2014/main" id="{00000000-0008-0000-0400-000014000000}"/>
            </a:ext>
          </a:extLst>
        </xdr:cNvPr>
        <xdr:cNvSpPr/>
      </xdr:nvSpPr>
      <xdr:spPr>
        <a:xfrm>
          <a:off x="2774950" y="9451972"/>
          <a:ext cx="142875" cy="128059"/>
        </a:xfrm>
        <a:prstGeom prst="rect">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202494</xdr:colOff>
      <xdr:row>10</xdr:row>
      <xdr:rowOff>148159</xdr:rowOff>
    </xdr:from>
    <xdr:to>
      <xdr:col>10</xdr:col>
      <xdr:colOff>85372</xdr:colOff>
      <xdr:row>13</xdr:row>
      <xdr:rowOff>20453</xdr:rowOff>
    </xdr:to>
    <xdr:pic>
      <xdr:nvPicPr>
        <xdr:cNvPr id="8" name="Graphic 7" descr="Earth globe: Africa and Europe with solid fill">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792383" y="1876770"/>
          <a:ext cx="485775" cy="490008"/>
        </a:xfrm>
        <a:prstGeom prst="rect">
          <a:avLst/>
        </a:prstGeom>
      </xdr:spPr>
    </xdr:pic>
    <xdr:clientData/>
  </xdr:twoCellAnchor>
  <xdr:twoCellAnchor>
    <xdr:from>
      <xdr:col>6</xdr:col>
      <xdr:colOff>104499</xdr:colOff>
      <xdr:row>34</xdr:row>
      <xdr:rowOff>173934</xdr:rowOff>
    </xdr:from>
    <xdr:to>
      <xdr:col>11</xdr:col>
      <xdr:colOff>488674</xdr:colOff>
      <xdr:row>45</xdr:row>
      <xdr:rowOff>88604</xdr:rowOff>
    </xdr:to>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63500</xdr:colOff>
      <xdr:row>49</xdr:row>
      <xdr:rowOff>109055</xdr:rowOff>
    </xdr:from>
    <xdr:to>
      <xdr:col>4</xdr:col>
      <xdr:colOff>967317</xdr:colOff>
      <xdr:row>58</xdr:row>
      <xdr:rowOff>123115</xdr:rowOff>
    </xdr:to>
    <xdr:graphicFrame macro="">
      <xdr:nvGraphicFramePr>
        <xdr:cNvPr id="11" name="Chart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56092</xdr:colOff>
      <xdr:row>49</xdr:row>
      <xdr:rowOff>39156</xdr:rowOff>
    </xdr:from>
    <xdr:to>
      <xdr:col>11</xdr:col>
      <xdr:colOff>542925</xdr:colOff>
      <xdr:row>58</xdr:row>
      <xdr:rowOff>169333</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3B6AD478-189C-8F48-489D-4F0679A0347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0"/>
            </a:graphicData>
          </a:graphic>
        </xdr:graphicFrame>
      </mc:Choice>
      <mc:Fallback>
        <xdr:sp macro="" textlink="">
          <xdr:nvSpPr>
            <xdr:cNvPr id="0" name=""/>
            <xdr:cNvSpPr>
              <a:spLocks noTextEdit="1"/>
            </xdr:cNvSpPr>
          </xdr:nvSpPr>
          <xdr:spPr>
            <a:xfrm>
              <a:off x="4367742" y="10313456"/>
              <a:ext cx="4398433" cy="178752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120650</xdr:colOff>
      <xdr:row>0</xdr:row>
      <xdr:rowOff>295275</xdr:rowOff>
    </xdr:from>
    <xdr:to>
      <xdr:col>13</xdr:col>
      <xdr:colOff>545580</xdr:colOff>
      <xdr:row>7</xdr:row>
      <xdr:rowOff>85725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srcRect r="18003"/>
        <a:stretch/>
      </xdr:blipFill>
      <xdr:spPr>
        <a:xfrm>
          <a:off x="4664075" y="295275"/>
          <a:ext cx="6520930" cy="1247775"/>
        </a:xfrm>
        <a:prstGeom prst="rect">
          <a:avLst/>
        </a:prstGeom>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ba.lt/en/sustainability/greenhouse-gas-ghg-emissions-calculator" TargetMode="External"/><Relationship Id="rId2" Type="http://schemas.openxmlformats.org/officeDocument/2006/relationships/hyperlink" Target="mailto:info@lba.lt" TargetMode="External"/><Relationship Id="rId1" Type="http://schemas.openxmlformats.org/officeDocument/2006/relationships/hyperlink" Target="https://youtu.be/mSPj_psVe-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14E2-56C0-48DA-9CF0-B0F0019DEF13}">
  <dimension ref="A1:L32"/>
  <sheetViews>
    <sheetView showGridLines="0" showRowColHeaders="0" tabSelected="1" topLeftCell="A2" zoomScaleNormal="100" workbookViewId="0">
      <selection activeCell="B7" sqref="B7:K20"/>
    </sheetView>
  </sheetViews>
  <sheetFormatPr defaultColWidth="0" defaultRowHeight="14.5" zeroHeight="1" x14ac:dyDescent="0.35"/>
  <cols>
    <col min="1" max="1" width="3.36328125" customWidth="1"/>
    <col min="2" max="11" width="8.7265625" customWidth="1"/>
    <col min="12" max="12" width="3.36328125" customWidth="1"/>
    <col min="13" max="16384" width="8.7265625" hidden="1"/>
  </cols>
  <sheetData>
    <row r="1" spans="2:11" x14ac:dyDescent="0.35"/>
    <row r="2" spans="2:11" x14ac:dyDescent="0.35">
      <c r="B2" s="11"/>
      <c r="C2" s="11"/>
      <c r="D2" s="11"/>
      <c r="E2" s="11"/>
      <c r="F2" s="11"/>
      <c r="G2" s="11"/>
      <c r="H2" s="11"/>
      <c r="I2" s="11"/>
      <c r="J2" s="11"/>
      <c r="K2" s="11"/>
    </row>
    <row r="3" spans="2:11" ht="6.65" customHeight="1" x14ac:dyDescent="0.35">
      <c r="B3" s="12"/>
      <c r="C3" s="12"/>
      <c r="D3" s="12"/>
      <c r="E3" s="12"/>
      <c r="F3" s="12"/>
      <c r="G3" s="12"/>
      <c r="H3" s="12"/>
      <c r="I3" s="12"/>
      <c r="J3" s="12"/>
      <c r="K3" s="12"/>
    </row>
    <row r="4" spans="2:11" x14ac:dyDescent="0.35">
      <c r="B4" s="14"/>
      <c r="C4" s="14"/>
      <c r="D4" s="14"/>
      <c r="E4" s="14"/>
      <c r="F4" s="14"/>
      <c r="G4" s="14"/>
      <c r="H4" s="14"/>
      <c r="I4" s="14"/>
      <c r="J4" s="14"/>
      <c r="K4" s="14"/>
    </row>
    <row r="5" spans="2:11" ht="15.5" x14ac:dyDescent="0.35">
      <c r="B5" s="24" t="s">
        <v>0</v>
      </c>
      <c r="C5" s="14"/>
      <c r="D5" s="14"/>
      <c r="E5" s="14"/>
      <c r="F5" s="14"/>
      <c r="G5" s="14"/>
      <c r="H5" s="14"/>
      <c r="I5" s="14"/>
      <c r="J5" s="14"/>
      <c r="K5" s="14"/>
    </row>
    <row r="6" spans="2:11" ht="11.5" customHeight="1" x14ac:dyDescent="0.35">
      <c r="B6" s="14"/>
      <c r="C6" s="14"/>
      <c r="D6" s="14"/>
      <c r="E6" s="14"/>
      <c r="F6" s="14"/>
      <c r="G6" s="14"/>
      <c r="H6" s="14"/>
      <c r="I6" s="14"/>
      <c r="J6" s="14"/>
      <c r="K6" s="14"/>
    </row>
    <row r="7" spans="2:11" ht="14.5" customHeight="1" x14ac:dyDescent="0.35">
      <c r="B7" s="390" t="s">
        <v>1425</v>
      </c>
      <c r="C7" s="390"/>
      <c r="D7" s="390"/>
      <c r="E7" s="390"/>
      <c r="F7" s="390"/>
      <c r="G7" s="390"/>
      <c r="H7" s="390"/>
      <c r="I7" s="390"/>
      <c r="J7" s="390"/>
      <c r="K7" s="390"/>
    </row>
    <row r="8" spans="2:11" x14ac:dyDescent="0.35">
      <c r="B8" s="390"/>
      <c r="C8" s="390"/>
      <c r="D8" s="390"/>
      <c r="E8" s="390"/>
      <c r="F8" s="390"/>
      <c r="G8" s="390"/>
      <c r="H8" s="390"/>
      <c r="I8" s="390"/>
      <c r="J8" s="390"/>
      <c r="K8" s="390"/>
    </row>
    <row r="9" spans="2:11" x14ac:dyDescent="0.35">
      <c r="B9" s="390"/>
      <c r="C9" s="390"/>
      <c r="D9" s="390"/>
      <c r="E9" s="390"/>
      <c r="F9" s="390"/>
      <c r="G9" s="390"/>
      <c r="H9" s="390"/>
      <c r="I9" s="390"/>
      <c r="J9" s="390"/>
      <c r="K9" s="390"/>
    </row>
    <row r="10" spans="2:11" x14ac:dyDescent="0.35">
      <c r="B10" s="390"/>
      <c r="C10" s="390"/>
      <c r="D10" s="390"/>
      <c r="E10" s="390"/>
      <c r="F10" s="390"/>
      <c r="G10" s="390"/>
      <c r="H10" s="390"/>
      <c r="I10" s="390"/>
      <c r="J10" s="390"/>
      <c r="K10" s="390"/>
    </row>
    <row r="11" spans="2:11" x14ac:dyDescent="0.35">
      <c r="B11" s="390"/>
      <c r="C11" s="390"/>
      <c r="D11" s="390"/>
      <c r="E11" s="390"/>
      <c r="F11" s="390"/>
      <c r="G11" s="390"/>
      <c r="H11" s="390"/>
      <c r="I11" s="390"/>
      <c r="J11" s="390"/>
      <c r="K11" s="390"/>
    </row>
    <row r="12" spans="2:11" x14ac:dyDescent="0.35">
      <c r="B12" s="390"/>
      <c r="C12" s="390"/>
      <c r="D12" s="390"/>
      <c r="E12" s="390"/>
      <c r="F12" s="390"/>
      <c r="G12" s="390"/>
      <c r="H12" s="390"/>
      <c r="I12" s="390"/>
      <c r="J12" s="390"/>
      <c r="K12" s="390"/>
    </row>
    <row r="13" spans="2:11" x14ac:dyDescent="0.35">
      <c r="B13" s="390"/>
      <c r="C13" s="390"/>
      <c r="D13" s="390"/>
      <c r="E13" s="390"/>
      <c r="F13" s="390"/>
      <c r="G13" s="390"/>
      <c r="H13" s="390"/>
      <c r="I13" s="390"/>
      <c r="J13" s="390"/>
      <c r="K13" s="390"/>
    </row>
    <row r="14" spans="2:11" x14ac:dyDescent="0.35">
      <c r="B14" s="390"/>
      <c r="C14" s="390"/>
      <c r="D14" s="390"/>
      <c r="E14" s="390"/>
      <c r="F14" s="390"/>
      <c r="G14" s="390"/>
      <c r="H14" s="390"/>
      <c r="I14" s="390"/>
      <c r="J14" s="390"/>
      <c r="K14" s="390"/>
    </row>
    <row r="15" spans="2:11" x14ac:dyDescent="0.35">
      <c r="B15" s="390"/>
      <c r="C15" s="390"/>
      <c r="D15" s="390"/>
      <c r="E15" s="390"/>
      <c r="F15" s="390"/>
      <c r="G15" s="390"/>
      <c r="H15" s="390"/>
      <c r="I15" s="390"/>
      <c r="J15" s="390"/>
      <c r="K15" s="390"/>
    </row>
    <row r="16" spans="2:11" x14ac:dyDescent="0.35">
      <c r="B16" s="390"/>
      <c r="C16" s="390"/>
      <c r="D16" s="390"/>
      <c r="E16" s="390"/>
      <c r="F16" s="390"/>
      <c r="G16" s="390"/>
      <c r="H16" s="390"/>
      <c r="I16" s="390"/>
      <c r="J16" s="390"/>
      <c r="K16" s="390"/>
    </row>
    <row r="17" spans="2:11" x14ac:dyDescent="0.35">
      <c r="B17" s="390"/>
      <c r="C17" s="390"/>
      <c r="D17" s="390"/>
      <c r="E17" s="390"/>
      <c r="F17" s="390"/>
      <c r="G17" s="390"/>
      <c r="H17" s="390"/>
      <c r="I17" s="390"/>
      <c r="J17" s="390"/>
      <c r="K17" s="390"/>
    </row>
    <row r="18" spans="2:11" x14ac:dyDescent="0.35">
      <c r="B18" s="390"/>
      <c r="C18" s="390"/>
      <c r="D18" s="390"/>
      <c r="E18" s="390"/>
      <c r="F18" s="390"/>
      <c r="G18" s="390"/>
      <c r="H18" s="390"/>
      <c r="I18" s="390"/>
      <c r="J18" s="390"/>
      <c r="K18" s="390"/>
    </row>
    <row r="19" spans="2:11" ht="59.5" customHeight="1" x14ac:dyDescent="0.35">
      <c r="B19" s="390"/>
      <c r="C19" s="390"/>
      <c r="D19" s="390"/>
      <c r="E19" s="390"/>
      <c r="F19" s="390"/>
      <c r="G19" s="390"/>
      <c r="H19" s="390"/>
      <c r="I19" s="390"/>
      <c r="J19" s="390"/>
      <c r="K19" s="390"/>
    </row>
    <row r="20" spans="2:11" ht="36.75" customHeight="1" x14ac:dyDescent="0.35">
      <c r="B20" s="390"/>
      <c r="C20" s="390"/>
      <c r="D20" s="390"/>
      <c r="E20" s="390"/>
      <c r="F20" s="390"/>
      <c r="G20" s="390"/>
      <c r="H20" s="390"/>
      <c r="I20" s="390"/>
      <c r="J20" s="390"/>
      <c r="K20" s="390"/>
    </row>
    <row r="21" spans="2:11" x14ac:dyDescent="0.35">
      <c r="B21" s="25"/>
      <c r="C21" s="25"/>
      <c r="D21" s="25"/>
      <c r="E21" s="25"/>
      <c r="F21" s="25"/>
      <c r="G21" s="25"/>
      <c r="H21" s="25"/>
      <c r="I21" s="25"/>
      <c r="J21" s="25"/>
      <c r="K21" s="25"/>
    </row>
    <row r="22" spans="2:11" x14ac:dyDescent="0.35">
      <c r="B22" s="14" t="s">
        <v>1</v>
      </c>
      <c r="C22" s="14"/>
      <c r="D22" s="14"/>
      <c r="E22" s="14"/>
      <c r="F22" s="14"/>
      <c r="G22" s="14"/>
      <c r="H22" s="14"/>
      <c r="I22" s="14"/>
      <c r="J22" s="14"/>
      <c r="K22" s="14"/>
    </row>
    <row r="23" spans="2:11" x14ac:dyDescent="0.35">
      <c r="B23" s="14" t="s">
        <v>1432</v>
      </c>
      <c r="C23" s="14"/>
      <c r="D23" s="14"/>
      <c r="E23" s="14"/>
      <c r="F23" s="14"/>
      <c r="G23" s="14"/>
      <c r="H23" s="14"/>
      <c r="I23" s="14"/>
      <c r="J23" s="14"/>
      <c r="K23" s="14"/>
    </row>
    <row r="24" spans="2:11" x14ac:dyDescent="0.35">
      <c r="B24" s="389" t="s">
        <v>1433</v>
      </c>
      <c r="C24" s="14"/>
      <c r="D24" s="14"/>
      <c r="E24" s="14"/>
      <c r="F24" s="14"/>
      <c r="G24" s="14"/>
      <c r="H24" s="14"/>
      <c r="I24" s="14"/>
      <c r="J24" s="14"/>
      <c r="K24" s="14"/>
    </row>
    <row r="25" spans="2:11" x14ac:dyDescent="0.35">
      <c r="B25" s="14" t="s">
        <v>2</v>
      </c>
      <c r="C25" s="14"/>
      <c r="D25" s="14"/>
      <c r="E25" s="14"/>
      <c r="F25" s="14"/>
      <c r="G25" s="14"/>
      <c r="H25" s="14"/>
      <c r="I25" s="14"/>
      <c r="J25" s="14"/>
      <c r="K25" s="14"/>
    </row>
    <row r="26" spans="2:11" x14ac:dyDescent="0.35">
      <c r="B26" s="389" t="s">
        <v>1436</v>
      </c>
      <c r="C26" s="14"/>
      <c r="D26" s="14"/>
      <c r="E26" s="14"/>
      <c r="F26" s="14"/>
      <c r="G26" s="14"/>
      <c r="H26" s="14"/>
      <c r="I26" s="14"/>
      <c r="J26" s="14"/>
      <c r="K26" s="14"/>
    </row>
    <row r="27" spans="2:11" x14ac:dyDescent="0.35">
      <c r="B27" s="14" t="s">
        <v>1434</v>
      </c>
      <c r="C27" s="14"/>
      <c r="D27" s="14"/>
      <c r="E27" s="14"/>
      <c r="F27" s="14"/>
      <c r="G27" s="14"/>
      <c r="H27" s="14"/>
      <c r="I27" s="14"/>
      <c r="J27" s="14"/>
      <c r="K27" s="14"/>
    </row>
    <row r="28" spans="2:11" x14ac:dyDescent="0.35">
      <c r="B28" s="389" t="s">
        <v>1435</v>
      </c>
      <c r="C28" s="14"/>
      <c r="D28" s="14"/>
      <c r="E28" s="14"/>
      <c r="F28" s="14"/>
      <c r="G28" s="14"/>
      <c r="H28" s="14"/>
      <c r="I28" s="14"/>
      <c r="J28" s="14"/>
      <c r="K28" s="14"/>
    </row>
    <row r="29" spans="2:11" x14ac:dyDescent="0.35">
      <c r="B29" s="14"/>
      <c r="C29" s="14"/>
      <c r="D29" s="14"/>
      <c r="E29" s="14"/>
      <c r="F29" s="14"/>
      <c r="G29" s="14"/>
      <c r="H29" s="14"/>
      <c r="I29" s="14"/>
      <c r="J29" s="14"/>
      <c r="K29" s="14"/>
    </row>
    <row r="30" spans="2:11" ht="6.65" customHeight="1" x14ac:dyDescent="0.35">
      <c r="B30" s="12"/>
      <c r="C30" s="12"/>
      <c r="D30" s="12"/>
      <c r="E30" s="12"/>
      <c r="F30" s="12"/>
      <c r="G30" s="12"/>
      <c r="H30" s="12"/>
      <c r="I30" s="12"/>
      <c r="J30" s="12"/>
      <c r="K30" s="12"/>
    </row>
    <row r="31" spans="2:11" x14ac:dyDescent="0.35">
      <c r="B31" s="11"/>
      <c r="C31" s="11"/>
      <c r="D31" s="11"/>
      <c r="E31" s="11"/>
      <c r="F31" s="11"/>
      <c r="G31" s="11"/>
      <c r="H31" s="11"/>
      <c r="I31" s="11"/>
      <c r="J31" s="11"/>
      <c r="K31" s="11"/>
    </row>
    <row r="32" spans="2:11" x14ac:dyDescent="0.35"/>
  </sheetData>
  <sheetProtection algorithmName="SHA-512" hashValue="QcqKw9Cz2Gy2qaRJlnroq0+OWx6T9eB2bBOYHMGISTu+N42KI7tTKBkueLlGjrIJxkLyqLYf+tcXBOLvaX6b+A==" saltValue="c2cJoIP7C+dURcdxJ5tdYg==" spinCount="100000" sheet="1" selectLockedCells="1"/>
  <mergeCells count="1">
    <mergeCell ref="B7:K20"/>
  </mergeCells>
  <hyperlinks>
    <hyperlink ref="B24" r:id="rId1" xr:uid="{BCCC98EB-7D60-4410-82C6-5BF6F08797B0}"/>
    <hyperlink ref="B28" r:id="rId2" xr:uid="{11D3DC45-CE12-4D5D-ACB5-89AFC335DD78}"/>
    <hyperlink ref="B26" r:id="rId3" xr:uid="{42C1BD99-BD87-48B5-B6D7-FC0D2728970F}"/>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16D5-BAF7-4DE3-AF52-845E86AD9B11}">
  <dimension ref="B2:N102"/>
  <sheetViews>
    <sheetView showGridLines="0" workbookViewId="0">
      <selection activeCell="E13" sqref="E13"/>
    </sheetView>
  </sheetViews>
  <sheetFormatPr defaultColWidth="8.7265625" defaultRowHeight="13" x14ac:dyDescent="0.3"/>
  <cols>
    <col min="1" max="1" width="5.54296875" style="86" customWidth="1"/>
    <col min="2" max="2" width="8.7265625" style="86"/>
    <col min="3" max="3" width="33.54296875" style="130" customWidth="1"/>
    <col min="4" max="9" width="22.54296875" style="86" customWidth="1"/>
    <col min="10" max="16384" width="8.7265625" style="86"/>
  </cols>
  <sheetData>
    <row r="2" spans="2:14" x14ac:dyDescent="0.3">
      <c r="B2" s="575" t="s">
        <v>504</v>
      </c>
      <c r="C2" s="576"/>
      <c r="D2" s="576"/>
      <c r="E2" s="576"/>
      <c r="F2" s="576"/>
      <c r="G2" s="576"/>
      <c r="H2" s="576"/>
      <c r="I2" s="576"/>
      <c r="J2" s="576"/>
      <c r="K2" s="576"/>
      <c r="L2" s="576"/>
      <c r="M2" s="576"/>
      <c r="N2" s="577"/>
    </row>
    <row r="4" spans="2:14" x14ac:dyDescent="0.3">
      <c r="B4" s="84"/>
      <c r="C4" s="126"/>
      <c r="D4" s="85" t="s">
        <v>391</v>
      </c>
      <c r="E4" s="85" t="s">
        <v>392</v>
      </c>
      <c r="F4" s="85" t="s">
        <v>393</v>
      </c>
      <c r="G4" s="84"/>
      <c r="H4" s="84"/>
      <c r="I4" s="84"/>
    </row>
    <row r="5" spans="2:14" x14ac:dyDescent="0.3">
      <c r="B5" s="579" t="s">
        <v>394</v>
      </c>
      <c r="C5" s="127" t="s">
        <v>395</v>
      </c>
      <c r="D5" s="85" t="s">
        <v>396</v>
      </c>
      <c r="E5" s="87">
        <v>1000</v>
      </c>
      <c r="F5" s="85" t="s">
        <v>397</v>
      </c>
      <c r="G5" s="84"/>
      <c r="H5" s="84"/>
      <c r="I5" s="84"/>
    </row>
    <row r="6" spans="2:14" x14ac:dyDescent="0.3">
      <c r="B6" s="579"/>
      <c r="C6" s="127" t="s">
        <v>398</v>
      </c>
      <c r="D6" s="85" t="s">
        <v>399</v>
      </c>
      <c r="E6" s="87">
        <v>1000000</v>
      </c>
      <c r="F6" s="85" t="s">
        <v>400</v>
      </c>
      <c r="G6" s="84"/>
      <c r="H6" s="84"/>
      <c r="I6" s="84"/>
    </row>
    <row r="7" spans="2:14" x14ac:dyDescent="0.3">
      <c r="B7" s="579"/>
      <c r="C7" s="127" t="s">
        <v>401</v>
      </c>
      <c r="D7" s="85" t="s">
        <v>402</v>
      </c>
      <c r="E7" s="87">
        <v>1000000000</v>
      </c>
      <c r="F7" s="85" t="s">
        <v>403</v>
      </c>
      <c r="G7" s="84"/>
      <c r="H7" s="84"/>
      <c r="I7" s="84"/>
    </row>
    <row r="8" spans="2:14" x14ac:dyDescent="0.3">
      <c r="B8" s="579"/>
      <c r="C8" s="127" t="s">
        <v>404</v>
      </c>
      <c r="D8" s="85" t="s">
        <v>405</v>
      </c>
      <c r="E8" s="87">
        <v>1000000000000</v>
      </c>
      <c r="F8" s="85" t="s">
        <v>406</v>
      </c>
      <c r="G8" s="84"/>
      <c r="H8" s="84"/>
      <c r="I8" s="84"/>
    </row>
    <row r="9" spans="2:14" x14ac:dyDescent="0.3">
      <c r="B9" s="579"/>
      <c r="C9" s="127" t="s">
        <v>407</v>
      </c>
      <c r="D9" s="85" t="s">
        <v>408</v>
      </c>
      <c r="E9" s="87">
        <v>1000000000000000</v>
      </c>
      <c r="F9" s="85" t="s">
        <v>409</v>
      </c>
      <c r="G9" s="84"/>
      <c r="H9" s="84"/>
      <c r="I9" s="84"/>
    </row>
    <row r="10" spans="2:14" x14ac:dyDescent="0.3">
      <c r="B10" s="88"/>
      <c r="C10" s="126"/>
      <c r="D10" s="84"/>
      <c r="E10" s="84"/>
      <c r="F10" s="84"/>
      <c r="G10" s="84"/>
      <c r="H10" s="84"/>
      <c r="I10" s="84"/>
    </row>
    <row r="11" spans="2:14" x14ac:dyDescent="0.3">
      <c r="B11" s="84"/>
      <c r="C11" s="126"/>
      <c r="D11" s="84"/>
      <c r="E11" s="84"/>
      <c r="F11" s="84"/>
      <c r="G11" s="84"/>
      <c r="H11" s="84"/>
      <c r="I11" s="84"/>
    </row>
    <row r="12" spans="2:14" x14ac:dyDescent="0.3">
      <c r="B12" s="84"/>
      <c r="C12" s="128"/>
      <c r="D12" s="85" t="s">
        <v>106</v>
      </c>
      <c r="E12" s="85" t="s">
        <v>42</v>
      </c>
      <c r="F12" s="85" t="s">
        <v>410</v>
      </c>
      <c r="G12" s="85" t="s">
        <v>411</v>
      </c>
      <c r="H12" s="85" t="s">
        <v>412</v>
      </c>
      <c r="I12" s="84"/>
    </row>
    <row r="13" spans="2:14" x14ac:dyDescent="0.3">
      <c r="B13" s="580" t="s">
        <v>413</v>
      </c>
      <c r="C13" s="127" t="s">
        <v>414</v>
      </c>
      <c r="D13" s="89"/>
      <c r="E13" s="90">
        <v>277.77777777799997</v>
      </c>
      <c r="F13" s="91">
        <v>9.4781707770000008</v>
      </c>
      <c r="G13" s="91">
        <v>2.3884590000000001E-2</v>
      </c>
      <c r="H13" s="92">
        <v>238902.95761861501</v>
      </c>
      <c r="I13" s="84"/>
    </row>
    <row r="14" spans="2:14" x14ac:dyDescent="0.3">
      <c r="B14" s="580"/>
      <c r="C14" s="127" t="s">
        <v>415</v>
      </c>
      <c r="D14" s="93">
        <v>3.5999999999971203E-3</v>
      </c>
      <c r="E14" s="89"/>
      <c r="F14" s="91">
        <v>3.4121414797172706E-2</v>
      </c>
      <c r="G14" s="91">
        <v>8.5984523999931223E-5</v>
      </c>
      <c r="H14" s="90">
        <v>860.05064742632601</v>
      </c>
      <c r="I14" s="84"/>
    </row>
    <row r="15" spans="2:14" x14ac:dyDescent="0.3">
      <c r="B15" s="580"/>
      <c r="C15" s="127" t="s">
        <v>416</v>
      </c>
      <c r="D15" s="91">
        <v>0.10550559000547115</v>
      </c>
      <c r="E15" s="94">
        <v>29.307108334876538</v>
      </c>
      <c r="F15" s="89"/>
      <c r="G15" s="91">
        <v>2.5199577599887761E-3</v>
      </c>
      <c r="H15" s="92">
        <v>25205.597497604045</v>
      </c>
      <c r="I15" s="84"/>
    </row>
    <row r="16" spans="2:14" x14ac:dyDescent="0.3">
      <c r="B16" s="580"/>
      <c r="C16" s="127" t="s">
        <v>417</v>
      </c>
      <c r="D16" s="94">
        <v>41.867999408823849</v>
      </c>
      <c r="E16" s="92">
        <v>11629.999835793706</v>
      </c>
      <c r="F16" s="90">
        <v>396.83204848816752</v>
      </c>
      <c r="G16" s="89"/>
      <c r="H16" s="92">
        <v>10002388.888342442</v>
      </c>
      <c r="I16" s="84"/>
    </row>
    <row r="17" spans="2:9" x14ac:dyDescent="0.3">
      <c r="B17" s="580"/>
      <c r="C17" s="127" t="s">
        <v>418</v>
      </c>
      <c r="D17" s="95">
        <v>4.1858000000000057E-6</v>
      </c>
      <c r="E17" s="96">
        <v>1.1627222222231539E-3</v>
      </c>
      <c r="F17" s="95">
        <v>3.9673727238366659E-5</v>
      </c>
      <c r="G17" s="95">
        <v>9.9976116822000138E-8</v>
      </c>
      <c r="H17" s="89"/>
      <c r="I17" s="84"/>
    </row>
    <row r="18" spans="2:9" x14ac:dyDescent="0.3">
      <c r="B18" s="84"/>
      <c r="C18" s="126"/>
      <c r="D18" s="84"/>
      <c r="E18" s="84"/>
      <c r="F18" s="84"/>
      <c r="G18" s="84"/>
      <c r="H18" s="84"/>
      <c r="I18" s="84"/>
    </row>
    <row r="19" spans="2:9" x14ac:dyDescent="0.3">
      <c r="B19" s="84"/>
      <c r="C19" s="126"/>
      <c r="D19" s="84"/>
      <c r="E19" s="84"/>
      <c r="F19" s="84"/>
      <c r="G19" s="84"/>
      <c r="H19" s="84"/>
      <c r="I19" s="84"/>
    </row>
    <row r="20" spans="2:9" x14ac:dyDescent="0.3">
      <c r="B20" s="84"/>
      <c r="C20" s="128"/>
      <c r="D20" s="85" t="s">
        <v>419</v>
      </c>
      <c r="E20" s="85" t="s">
        <v>297</v>
      </c>
      <c r="F20" s="85" t="s">
        <v>420</v>
      </c>
      <c r="G20" s="85" t="s">
        <v>421</v>
      </c>
      <c r="H20" s="85" t="s">
        <v>422</v>
      </c>
      <c r="I20" s="85" t="s">
        <v>423</v>
      </c>
    </row>
    <row r="21" spans="2:9" x14ac:dyDescent="0.3">
      <c r="B21" s="580" t="s">
        <v>424</v>
      </c>
      <c r="C21" s="127" t="s">
        <v>425</v>
      </c>
      <c r="D21" s="89"/>
      <c r="E21" s="97">
        <v>1E-3</v>
      </c>
      <c r="F21" s="98">
        <v>3.5314667000000001E-2</v>
      </c>
      <c r="G21" s="98">
        <v>0.21996924800000001</v>
      </c>
      <c r="H21" s="98">
        <v>0.26417205100000002</v>
      </c>
      <c r="I21" s="99">
        <v>6.2898110000000002E-3</v>
      </c>
    </row>
    <row r="22" spans="2:9" x14ac:dyDescent="0.3">
      <c r="B22" s="580"/>
      <c r="C22" s="127" t="s">
        <v>426</v>
      </c>
      <c r="D22" s="100">
        <v>1000</v>
      </c>
      <c r="E22" s="89"/>
      <c r="F22" s="97">
        <v>35.314667</v>
      </c>
      <c r="G22" s="101">
        <v>219.96924799999999</v>
      </c>
      <c r="H22" s="101">
        <v>264.17205100000001</v>
      </c>
      <c r="I22" s="102">
        <v>6.2898110000000003</v>
      </c>
    </row>
    <row r="23" spans="2:9" x14ac:dyDescent="0.3">
      <c r="B23" s="580"/>
      <c r="C23" s="127" t="s">
        <v>427</v>
      </c>
      <c r="D23" s="97">
        <v>28.316846368677353</v>
      </c>
      <c r="E23" s="98">
        <v>2.8316846368677356E-2</v>
      </c>
      <c r="F23" s="89"/>
      <c r="G23" s="102">
        <v>6.228835401449488</v>
      </c>
      <c r="H23" s="98">
        <v>7.4805193830653991</v>
      </c>
      <c r="I23" s="98">
        <v>0.17810761177501688</v>
      </c>
    </row>
    <row r="24" spans="2:9" x14ac:dyDescent="0.3">
      <c r="B24" s="580"/>
      <c r="C24" s="127" t="s">
        <v>428</v>
      </c>
      <c r="D24" s="102">
        <v>4.5460900061812275</v>
      </c>
      <c r="E24" s="98">
        <v>4.5460900061812274E-3</v>
      </c>
      <c r="F24" s="98">
        <v>0.16054365472031801</v>
      </c>
      <c r="G24" s="89"/>
      <c r="H24" s="98">
        <v>1.2009499209634977</v>
      </c>
      <c r="I24" s="103">
        <v>2.8594046927868752E-2</v>
      </c>
    </row>
    <row r="25" spans="2:9" x14ac:dyDescent="0.3">
      <c r="B25" s="580"/>
      <c r="C25" s="127" t="s">
        <v>422</v>
      </c>
      <c r="D25" s="102">
        <v>3.7854118034613733</v>
      </c>
      <c r="E25" s="99">
        <v>3.7854118034613732E-3</v>
      </c>
      <c r="F25" s="98">
        <v>0.13368055729710784</v>
      </c>
      <c r="G25" s="98">
        <v>0.83267418777772206</v>
      </c>
      <c r="H25" s="89"/>
      <c r="I25" s="103">
        <v>2.3809524800941183E-2</v>
      </c>
    </row>
    <row r="26" spans="2:9" x14ac:dyDescent="0.3">
      <c r="B26" s="580"/>
      <c r="C26" s="127" t="s">
        <v>429</v>
      </c>
      <c r="D26" s="101">
        <v>158.98728912522174</v>
      </c>
      <c r="E26" s="98">
        <v>0.15898728912522173</v>
      </c>
      <c r="F26" s="102">
        <v>5.6145831726899269</v>
      </c>
      <c r="G26" s="97">
        <v>34.972314430433606</v>
      </c>
      <c r="H26" s="100">
        <v>41.999998251139822</v>
      </c>
      <c r="I26" s="89"/>
    </row>
    <row r="27" spans="2:9" x14ac:dyDescent="0.3">
      <c r="B27" s="84"/>
      <c r="C27" s="126"/>
      <c r="D27" s="84"/>
      <c r="E27" s="84"/>
      <c r="F27" s="84"/>
      <c r="G27" s="84"/>
      <c r="H27" s="84"/>
      <c r="I27" s="84"/>
    </row>
    <row r="28" spans="2:9" x14ac:dyDescent="0.3">
      <c r="B28" s="84"/>
      <c r="C28" s="126"/>
      <c r="D28" s="84"/>
      <c r="E28" s="84"/>
      <c r="F28" s="84"/>
      <c r="G28" s="84"/>
      <c r="H28" s="84"/>
      <c r="I28" s="84"/>
    </row>
    <row r="29" spans="2:9" x14ac:dyDescent="0.3">
      <c r="B29" s="84"/>
      <c r="C29" s="129"/>
      <c r="D29" s="85" t="s">
        <v>86</v>
      </c>
      <c r="E29" s="85" t="s">
        <v>430</v>
      </c>
      <c r="F29" s="85" t="s">
        <v>431</v>
      </c>
      <c r="G29" s="85" t="s">
        <v>432</v>
      </c>
      <c r="H29" s="85" t="s">
        <v>433</v>
      </c>
      <c r="I29" s="84"/>
    </row>
    <row r="30" spans="2:9" x14ac:dyDescent="0.3">
      <c r="B30" s="579" t="s">
        <v>434</v>
      </c>
      <c r="C30" s="127" t="s">
        <v>435</v>
      </c>
      <c r="D30" s="89"/>
      <c r="E30" s="97">
        <v>1E-3</v>
      </c>
      <c r="F30" s="98">
        <v>9.8420699999999996E-4</v>
      </c>
      <c r="G30" s="98">
        <v>1.1023109999999999E-3</v>
      </c>
      <c r="H30" s="98">
        <v>2.2046236800000001</v>
      </c>
      <c r="I30" s="84"/>
    </row>
    <row r="31" spans="2:9" x14ac:dyDescent="0.3">
      <c r="B31" s="579"/>
      <c r="C31" s="127" t="s">
        <v>436</v>
      </c>
      <c r="D31" s="100">
        <v>1000</v>
      </c>
      <c r="E31" s="89"/>
      <c r="F31" s="98">
        <v>0.98420699999999994</v>
      </c>
      <c r="G31" s="98">
        <v>1.1023109999999998</v>
      </c>
      <c r="H31" s="98">
        <v>2204.6236800000001</v>
      </c>
      <c r="I31" s="84"/>
    </row>
    <row r="32" spans="2:9" x14ac:dyDescent="0.3">
      <c r="B32" s="579"/>
      <c r="C32" s="127" t="s">
        <v>437</v>
      </c>
      <c r="D32" s="98">
        <v>1016.0464211288886</v>
      </c>
      <c r="E32" s="98">
        <v>1.0160464211288887</v>
      </c>
      <c r="F32" s="89"/>
      <c r="G32" s="98">
        <v>1.1199991465210062</v>
      </c>
      <c r="H32" s="100">
        <v>2240</v>
      </c>
      <c r="I32" s="84"/>
    </row>
    <row r="33" spans="2:9" x14ac:dyDescent="0.3">
      <c r="B33" s="579"/>
      <c r="C33" s="127" t="s">
        <v>438</v>
      </c>
      <c r="D33" s="101">
        <v>907.18499588591612</v>
      </c>
      <c r="E33" s="98">
        <v>0.90718499588591617</v>
      </c>
      <c r="F33" s="98">
        <v>0.8928578232458898</v>
      </c>
      <c r="G33" s="89"/>
      <c r="H33" s="100">
        <v>2000.0015240707933</v>
      </c>
      <c r="I33" s="84"/>
    </row>
    <row r="34" spans="2:9" x14ac:dyDescent="0.3">
      <c r="B34" s="579"/>
      <c r="C34" s="127" t="s">
        <v>439</v>
      </c>
      <c r="D34" s="98">
        <v>0.45359215228968236</v>
      </c>
      <c r="E34" s="104">
        <v>4.5359215228968239E-4</v>
      </c>
      <c r="F34" s="104">
        <v>4.4642857142857141E-4</v>
      </c>
      <c r="G34" s="98">
        <v>4.9999961898259206E-4</v>
      </c>
      <c r="H34" s="89"/>
      <c r="I34" s="84"/>
    </row>
    <row r="35" spans="2:9" x14ac:dyDescent="0.3">
      <c r="B35" s="84"/>
      <c r="C35" s="126"/>
      <c r="D35" s="84"/>
      <c r="E35" s="84"/>
      <c r="F35" s="84"/>
      <c r="G35" s="84"/>
      <c r="H35" s="84"/>
      <c r="I35" s="84"/>
    </row>
    <row r="36" spans="2:9" x14ac:dyDescent="0.3">
      <c r="B36" s="84"/>
      <c r="C36" s="126"/>
      <c r="D36" s="84"/>
      <c r="E36" s="84"/>
      <c r="F36" s="84"/>
      <c r="G36" s="84"/>
      <c r="H36" s="84"/>
      <c r="I36" s="84"/>
    </row>
    <row r="37" spans="2:9" x14ac:dyDescent="0.3">
      <c r="B37" s="84"/>
      <c r="C37" s="128"/>
      <c r="D37" s="85" t="s">
        <v>440</v>
      </c>
      <c r="E37" s="85" t="s">
        <v>441</v>
      </c>
      <c r="F37" s="85" t="s">
        <v>442</v>
      </c>
      <c r="G37" s="85" t="s">
        <v>287</v>
      </c>
      <c r="H37" s="85" t="s">
        <v>443</v>
      </c>
      <c r="I37" s="84"/>
    </row>
    <row r="38" spans="2:9" x14ac:dyDescent="0.3">
      <c r="B38" s="579" t="s">
        <v>444</v>
      </c>
      <c r="C38" s="127" t="s">
        <v>445</v>
      </c>
      <c r="D38" s="89"/>
      <c r="E38" s="102">
        <v>3.2808398950000002</v>
      </c>
      <c r="F38" s="104">
        <v>6.2137119223733392E-4</v>
      </c>
      <c r="G38" s="85">
        <v>1E-3</v>
      </c>
      <c r="H38" s="104">
        <v>5.3995680351745805E-4</v>
      </c>
      <c r="I38" s="84"/>
    </row>
    <row r="39" spans="2:9" x14ac:dyDescent="0.3">
      <c r="B39" s="579"/>
      <c r="C39" s="127" t="s">
        <v>446</v>
      </c>
      <c r="D39" s="98">
        <v>0.30480000000121921</v>
      </c>
      <c r="E39" s="89"/>
      <c r="F39" s="97">
        <v>1.8939393939469695E-4</v>
      </c>
      <c r="G39" s="99">
        <v>3.0480000000121922E-4</v>
      </c>
      <c r="H39" s="104">
        <v>1.6457883371277953E-4</v>
      </c>
      <c r="I39" s="84"/>
    </row>
    <row r="40" spans="2:9" x14ac:dyDescent="0.3">
      <c r="B40" s="579"/>
      <c r="C40" s="127" t="s">
        <v>447</v>
      </c>
      <c r="D40" s="101">
        <v>1609.3440000000001</v>
      </c>
      <c r="E40" s="100">
        <v>5279.9999999788806</v>
      </c>
      <c r="F40" s="89"/>
      <c r="G40" s="98">
        <v>1.6093440000000001</v>
      </c>
      <c r="H40" s="98">
        <v>0.86897624200000001</v>
      </c>
      <c r="I40" s="84"/>
    </row>
    <row r="41" spans="2:9" x14ac:dyDescent="0.3">
      <c r="B41" s="579"/>
      <c r="C41" s="127" t="s">
        <v>448</v>
      </c>
      <c r="D41" s="100">
        <v>1000</v>
      </c>
      <c r="E41" s="105">
        <v>3280.8398950000001</v>
      </c>
      <c r="F41" s="98">
        <v>0.62137119223733395</v>
      </c>
      <c r="G41" s="89"/>
      <c r="H41" s="98">
        <v>0.53995680351745801</v>
      </c>
      <c r="I41" s="84"/>
    </row>
    <row r="42" spans="2:9" x14ac:dyDescent="0.3">
      <c r="B42" s="579"/>
      <c r="C42" s="127" t="s">
        <v>449</v>
      </c>
      <c r="D42" s="100">
        <v>1851.9999997882567</v>
      </c>
      <c r="E42" s="105">
        <v>6076.1154848453043</v>
      </c>
      <c r="F42" s="98">
        <v>1.1507794478919713</v>
      </c>
      <c r="G42" s="97">
        <v>1.8519999997882568</v>
      </c>
      <c r="H42" s="89"/>
      <c r="I42" s="84"/>
    </row>
    <row r="43" spans="2:9" x14ac:dyDescent="0.3">
      <c r="B43" s="84"/>
      <c r="C43" s="126"/>
      <c r="D43" s="84"/>
      <c r="E43" s="84"/>
      <c r="F43" s="84"/>
      <c r="G43" s="84"/>
      <c r="H43" s="84"/>
      <c r="I43" s="84"/>
    </row>
    <row r="44" spans="2:9" x14ac:dyDescent="0.3">
      <c r="B44" s="84"/>
      <c r="C44" s="126"/>
      <c r="D44" s="84"/>
      <c r="E44" s="84"/>
      <c r="F44" s="84"/>
      <c r="G44" s="84"/>
      <c r="H44" s="84"/>
      <c r="I44" s="84"/>
    </row>
    <row r="45" spans="2:9" x14ac:dyDescent="0.3">
      <c r="B45" s="84"/>
      <c r="C45" s="128"/>
      <c r="D45" s="85" t="s">
        <v>440</v>
      </c>
      <c r="E45" s="85" t="s">
        <v>441</v>
      </c>
      <c r="F45" s="85" t="s">
        <v>450</v>
      </c>
      <c r="G45" s="85" t="s">
        <v>451</v>
      </c>
      <c r="H45" s="85" t="s">
        <v>452</v>
      </c>
      <c r="I45" s="84"/>
    </row>
    <row r="46" spans="2:9" x14ac:dyDescent="0.3">
      <c r="B46" s="579" t="s">
        <v>444</v>
      </c>
      <c r="C46" s="127" t="s">
        <v>445</v>
      </c>
      <c r="D46" s="89"/>
      <c r="E46" s="98">
        <v>3.2808398950000002</v>
      </c>
      <c r="F46" s="98">
        <v>39.370078739999997</v>
      </c>
      <c r="G46" s="100">
        <v>100</v>
      </c>
      <c r="H46" s="98">
        <v>1.093613298</v>
      </c>
      <c r="I46" s="84"/>
    </row>
    <row r="47" spans="2:9" x14ac:dyDescent="0.3">
      <c r="B47" s="579"/>
      <c r="C47" s="127" t="s">
        <v>446</v>
      </c>
      <c r="D47" s="98">
        <v>0.30480000000121921</v>
      </c>
      <c r="E47" s="89"/>
      <c r="F47" s="100">
        <v>12</v>
      </c>
      <c r="G47" s="98">
        <v>30.480000000121919</v>
      </c>
      <c r="H47" s="98">
        <v>0.33333333323173331</v>
      </c>
      <c r="I47" s="84"/>
    </row>
    <row r="48" spans="2:9" x14ac:dyDescent="0.3">
      <c r="B48" s="579"/>
      <c r="C48" s="127" t="s">
        <v>453</v>
      </c>
      <c r="D48" s="98">
        <v>2.5400000000101602E-2</v>
      </c>
      <c r="E48" s="98">
        <v>8.3333333333333343E-2</v>
      </c>
      <c r="F48" s="89"/>
      <c r="G48" s="98">
        <v>2.5400000000101604</v>
      </c>
      <c r="H48" s="98">
        <v>2.7777777769311111E-2</v>
      </c>
      <c r="I48" s="84"/>
    </row>
    <row r="49" spans="2:14" x14ac:dyDescent="0.3">
      <c r="B49" s="579"/>
      <c r="C49" s="127" t="s">
        <v>454</v>
      </c>
      <c r="D49" s="101">
        <v>0.01</v>
      </c>
      <c r="E49" s="98">
        <v>3.2808398950000005E-2</v>
      </c>
      <c r="F49" s="98">
        <v>0.39370078739999997</v>
      </c>
      <c r="G49" s="89"/>
      <c r="H49" s="98">
        <v>1.0936132979999999E-2</v>
      </c>
      <c r="I49" s="84"/>
    </row>
    <row r="50" spans="2:14" x14ac:dyDescent="0.3">
      <c r="B50" s="579"/>
      <c r="C50" s="127" t="s">
        <v>455</v>
      </c>
      <c r="D50" s="98">
        <v>0.91440000028236679</v>
      </c>
      <c r="E50" s="100">
        <v>3.0000000009144006</v>
      </c>
      <c r="F50" s="100">
        <v>36.000000010972798</v>
      </c>
      <c r="G50" s="98">
        <v>91.440000028236682</v>
      </c>
      <c r="H50" s="89"/>
      <c r="I50" s="84"/>
    </row>
    <row r="51" spans="2:14" x14ac:dyDescent="0.3">
      <c r="B51" s="84"/>
      <c r="C51" s="126"/>
      <c r="D51" s="84"/>
      <c r="E51" s="84"/>
      <c r="F51" s="84"/>
      <c r="G51" s="84"/>
      <c r="H51" s="84"/>
      <c r="I51" s="84"/>
    </row>
    <row r="52" spans="2:14" x14ac:dyDescent="0.3">
      <c r="B52" s="575" t="s">
        <v>505</v>
      </c>
      <c r="C52" s="576"/>
      <c r="D52" s="576"/>
      <c r="E52" s="576"/>
      <c r="F52" s="576"/>
      <c r="G52" s="576"/>
      <c r="H52" s="576"/>
      <c r="I52" s="576"/>
      <c r="J52" s="576"/>
      <c r="K52" s="576"/>
      <c r="L52" s="576"/>
      <c r="M52" s="576"/>
      <c r="N52" s="577"/>
    </row>
    <row r="53" spans="2:14" x14ac:dyDescent="0.3">
      <c r="B53" s="84"/>
      <c r="C53" s="114"/>
      <c r="D53" s="115"/>
      <c r="E53" s="116"/>
      <c r="F53" s="116"/>
      <c r="G53" s="117"/>
      <c r="H53" s="118"/>
      <c r="I53" s="84"/>
      <c r="J53" s="116"/>
      <c r="K53" s="116"/>
      <c r="L53" s="84"/>
      <c r="M53" s="84"/>
      <c r="N53" s="84"/>
    </row>
    <row r="54" spans="2:14" x14ac:dyDescent="0.3">
      <c r="B54" s="84"/>
      <c r="C54" s="578"/>
      <c r="D54" s="106" t="s">
        <v>250</v>
      </c>
      <c r="E54" s="106" t="s">
        <v>457</v>
      </c>
      <c r="F54" s="106" t="s">
        <v>458</v>
      </c>
      <c r="G54" s="106" t="s">
        <v>459</v>
      </c>
      <c r="H54" s="106" t="s">
        <v>460</v>
      </c>
      <c r="I54" s="84"/>
      <c r="J54" s="106" t="s">
        <v>457</v>
      </c>
      <c r="K54" s="106" t="s">
        <v>458</v>
      </c>
      <c r="L54" s="84"/>
      <c r="M54" s="106" t="s">
        <v>457</v>
      </c>
      <c r="N54" s="106" t="s">
        <v>458</v>
      </c>
    </row>
    <row r="55" spans="2:14" x14ac:dyDescent="0.3">
      <c r="B55" s="84"/>
      <c r="C55" s="578"/>
      <c r="D55" s="107"/>
      <c r="E55" s="106" t="s">
        <v>461</v>
      </c>
      <c r="F55" s="107" t="s">
        <v>461</v>
      </c>
      <c r="G55" s="107" t="s">
        <v>462</v>
      </c>
      <c r="H55" s="107" t="s">
        <v>463</v>
      </c>
      <c r="I55" s="84"/>
      <c r="J55" s="106" t="s">
        <v>464</v>
      </c>
      <c r="K55" s="106" t="s">
        <v>464</v>
      </c>
      <c r="L55" s="84"/>
      <c r="M55" s="106" t="s">
        <v>465</v>
      </c>
      <c r="N55" s="106" t="s">
        <v>465</v>
      </c>
    </row>
    <row r="56" spans="2:14" x14ac:dyDescent="0.3">
      <c r="B56" s="571" t="s">
        <v>466</v>
      </c>
      <c r="C56" s="106" t="s">
        <v>467</v>
      </c>
      <c r="D56" s="108">
        <v>2022</v>
      </c>
      <c r="E56" s="109">
        <v>44.831000000000003</v>
      </c>
      <c r="F56" s="109">
        <v>47.19</v>
      </c>
      <c r="G56" s="109">
        <v>727.27300000000002</v>
      </c>
      <c r="H56" s="109">
        <v>1375</v>
      </c>
      <c r="I56" s="84"/>
      <c r="J56" s="109">
        <v>12.452999999999999</v>
      </c>
      <c r="K56" s="109">
        <v>13.108000000000001</v>
      </c>
      <c r="L56" s="84"/>
      <c r="M56" s="109">
        <v>9.0570000000000004</v>
      </c>
      <c r="N56" s="109">
        <v>9.5329999999999995</v>
      </c>
    </row>
    <row r="57" spans="2:14" x14ac:dyDescent="0.3">
      <c r="B57" s="571"/>
      <c r="C57" s="106" t="s">
        <v>468</v>
      </c>
      <c r="D57" s="108">
        <v>2022</v>
      </c>
      <c r="E57" s="109">
        <v>43.920999999999999</v>
      </c>
      <c r="F57" s="109">
        <v>46.231999999999999</v>
      </c>
      <c r="G57" s="109">
        <v>798.72199999999998</v>
      </c>
      <c r="H57" s="109">
        <v>1252</v>
      </c>
      <c r="I57" s="84"/>
      <c r="J57" s="109">
        <v>12.2</v>
      </c>
      <c r="K57" s="109">
        <v>12.842000000000001</v>
      </c>
      <c r="L57" s="84"/>
      <c r="M57" s="109">
        <v>9.7449999999999992</v>
      </c>
      <c r="N57" s="109">
        <v>10.257</v>
      </c>
    </row>
    <row r="58" spans="2:14" x14ac:dyDescent="0.3">
      <c r="B58" s="571"/>
      <c r="C58" s="106" t="s">
        <v>469</v>
      </c>
      <c r="D58" s="108">
        <v>2022</v>
      </c>
      <c r="E58" s="109">
        <v>43.896000000000001</v>
      </c>
      <c r="F58" s="109">
        <v>46.207000000000001</v>
      </c>
      <c r="G58" s="109">
        <v>800.64099999999996</v>
      </c>
      <c r="H58" s="109">
        <v>1249</v>
      </c>
      <c r="I58" s="84"/>
      <c r="J58" s="109">
        <v>12.193</v>
      </c>
      <c r="K58" s="109">
        <v>12.835000000000001</v>
      </c>
      <c r="L58" s="84"/>
      <c r="M58" s="109">
        <v>9.7629999999999999</v>
      </c>
      <c r="N58" s="109">
        <v>10.276</v>
      </c>
    </row>
    <row r="59" spans="2:14" x14ac:dyDescent="0.3">
      <c r="B59" s="571"/>
      <c r="C59" s="106" t="s">
        <v>470</v>
      </c>
      <c r="D59" s="108">
        <v>2022</v>
      </c>
      <c r="E59" s="109">
        <v>45.3</v>
      </c>
      <c r="F59" s="109">
        <v>49.1</v>
      </c>
      <c r="G59" s="109">
        <v>574.71299999999997</v>
      </c>
      <c r="H59" s="109">
        <v>1740</v>
      </c>
      <c r="I59" s="84"/>
      <c r="J59" s="109">
        <v>12.583</v>
      </c>
      <c r="K59" s="109">
        <v>13.638999999999999</v>
      </c>
      <c r="L59" s="84"/>
      <c r="M59" s="109">
        <v>7.2320000000000002</v>
      </c>
      <c r="N59" s="109">
        <v>7.8380000000000001</v>
      </c>
    </row>
    <row r="60" spans="2:14" x14ac:dyDescent="0.3">
      <c r="B60" s="571"/>
      <c r="C60" s="106" t="s">
        <v>471</v>
      </c>
      <c r="D60" s="108">
        <v>2022</v>
      </c>
      <c r="E60" s="109">
        <v>28.613</v>
      </c>
      <c r="F60" s="109">
        <v>30.119</v>
      </c>
      <c r="G60" s="109">
        <v>850</v>
      </c>
      <c r="H60" s="109">
        <v>1176.471</v>
      </c>
      <c r="I60" s="84"/>
      <c r="J60" s="109">
        <v>7.9480000000000004</v>
      </c>
      <c r="K60" s="109">
        <v>8.3659999999999997</v>
      </c>
      <c r="L60" s="84"/>
      <c r="M60" s="109">
        <v>6.7560000000000002</v>
      </c>
      <c r="N60" s="109">
        <v>7.1109999999999998</v>
      </c>
    </row>
    <row r="61" spans="2:14" x14ac:dyDescent="0.3">
      <c r="B61" s="571"/>
      <c r="C61" s="106" t="s">
        <v>472</v>
      </c>
      <c r="D61" s="108">
        <v>2022</v>
      </c>
      <c r="E61" s="109">
        <v>24.166</v>
      </c>
      <c r="F61" s="109">
        <v>25.437999999999999</v>
      </c>
      <c r="G61" s="110"/>
      <c r="H61" s="110"/>
      <c r="I61" s="84"/>
      <c r="J61" s="109">
        <v>6.7130000000000001</v>
      </c>
      <c r="K61" s="109">
        <v>7.0659999999999998</v>
      </c>
      <c r="L61" s="84"/>
      <c r="M61" s="110"/>
      <c r="N61" s="111"/>
    </row>
    <row r="62" spans="2:14" ht="26" x14ac:dyDescent="0.3">
      <c r="B62" s="571"/>
      <c r="C62" s="106" t="s">
        <v>473</v>
      </c>
      <c r="D62" s="108">
        <v>2022</v>
      </c>
      <c r="E62" s="109">
        <v>24.128</v>
      </c>
      <c r="F62" s="109">
        <v>25.398</v>
      </c>
      <c r="G62" s="110"/>
      <c r="H62" s="110"/>
      <c r="I62" s="84"/>
      <c r="J62" s="109">
        <v>6.702</v>
      </c>
      <c r="K62" s="109">
        <v>7.0549999999999997</v>
      </c>
      <c r="L62" s="84"/>
      <c r="M62" s="110"/>
      <c r="N62" s="111"/>
    </row>
    <row r="63" spans="2:14" x14ac:dyDescent="0.3">
      <c r="B63" s="571"/>
      <c r="C63" s="106" t="s">
        <v>474</v>
      </c>
      <c r="D63" s="108">
        <v>2022</v>
      </c>
      <c r="E63" s="109">
        <v>25.405000000000001</v>
      </c>
      <c r="F63" s="109">
        <v>26.742000000000001</v>
      </c>
      <c r="G63" s="110"/>
      <c r="H63" s="110"/>
      <c r="I63" s="84"/>
      <c r="J63" s="109">
        <v>7.0570000000000004</v>
      </c>
      <c r="K63" s="109">
        <v>7.4279999999999999</v>
      </c>
      <c r="L63" s="84"/>
      <c r="M63" s="110"/>
      <c r="N63" s="111"/>
    </row>
    <row r="64" spans="2:14" x14ac:dyDescent="0.3">
      <c r="B64" s="571"/>
      <c r="C64" s="106" t="s">
        <v>475</v>
      </c>
      <c r="D64" s="108">
        <v>2022</v>
      </c>
      <c r="E64" s="109">
        <v>30.24</v>
      </c>
      <c r="F64" s="109">
        <v>31.832000000000001</v>
      </c>
      <c r="G64" s="110"/>
      <c r="H64" s="110"/>
      <c r="I64" s="84"/>
      <c r="J64" s="109">
        <v>8.4</v>
      </c>
      <c r="K64" s="109">
        <v>8.8420000000000005</v>
      </c>
      <c r="L64" s="84"/>
      <c r="M64" s="110"/>
      <c r="N64" s="111"/>
    </row>
    <row r="65" spans="2:14" x14ac:dyDescent="0.3">
      <c r="B65" s="571"/>
      <c r="C65" s="106" t="s">
        <v>476</v>
      </c>
      <c r="D65" s="108">
        <v>2022</v>
      </c>
      <c r="E65" s="109">
        <v>42.881999999999998</v>
      </c>
      <c r="F65" s="109">
        <v>45.619</v>
      </c>
      <c r="G65" s="109">
        <v>841.04300000000001</v>
      </c>
      <c r="H65" s="109">
        <v>1189</v>
      </c>
      <c r="I65" s="84"/>
      <c r="J65" s="109">
        <v>11.912000000000001</v>
      </c>
      <c r="K65" s="109">
        <v>12.672000000000001</v>
      </c>
      <c r="L65" s="84"/>
      <c r="M65" s="109">
        <v>10.018000000000001</v>
      </c>
      <c r="N65" s="109">
        <v>10.657999999999999</v>
      </c>
    </row>
    <row r="66" spans="2:14" x14ac:dyDescent="0.3">
      <c r="B66" s="571"/>
      <c r="C66" s="106" t="s">
        <v>477</v>
      </c>
      <c r="D66" s="108">
        <v>2022</v>
      </c>
      <c r="E66" s="109">
        <v>42.601999999999997</v>
      </c>
      <c r="F66" s="109">
        <v>45.277999999999999</v>
      </c>
      <c r="G66" s="109">
        <v>843.32799999999997</v>
      </c>
      <c r="H66" s="109">
        <v>1185.779</v>
      </c>
      <c r="I66" s="84"/>
      <c r="J66" s="109">
        <v>11.834</v>
      </c>
      <c r="K66" s="109">
        <v>12.577</v>
      </c>
      <c r="L66" s="84"/>
      <c r="M66" s="109">
        <v>9.98</v>
      </c>
      <c r="N66" s="109">
        <v>10.606999999999999</v>
      </c>
    </row>
    <row r="67" spans="2:14" x14ac:dyDescent="0.3">
      <c r="B67" s="571"/>
      <c r="C67" s="106" t="s">
        <v>478</v>
      </c>
      <c r="D67" s="108">
        <v>2022</v>
      </c>
      <c r="E67" s="109">
        <v>40.725999999999999</v>
      </c>
      <c r="F67" s="109">
        <v>43.325000000000003</v>
      </c>
      <c r="G67" s="109">
        <v>984.25199999999995</v>
      </c>
      <c r="H67" s="109">
        <v>1016</v>
      </c>
      <c r="I67" s="84"/>
      <c r="J67" s="109">
        <v>11.313000000000001</v>
      </c>
      <c r="K67" s="109">
        <v>12.035</v>
      </c>
      <c r="L67" s="84"/>
      <c r="M67" s="109">
        <v>11.135</v>
      </c>
      <c r="N67" s="109">
        <v>11.845000000000001</v>
      </c>
    </row>
    <row r="68" spans="2:14" x14ac:dyDescent="0.3">
      <c r="B68" s="571"/>
      <c r="C68" s="106" t="s">
        <v>479</v>
      </c>
      <c r="D68" s="108">
        <v>2022</v>
      </c>
      <c r="E68" s="109">
        <v>42.569000000000003</v>
      </c>
      <c r="F68" s="109">
        <v>45.286000000000001</v>
      </c>
      <c r="G68" s="109">
        <v>844.59500000000003</v>
      </c>
      <c r="H68" s="109">
        <v>1184</v>
      </c>
      <c r="I68" s="84"/>
      <c r="J68" s="109">
        <v>11.824999999999999</v>
      </c>
      <c r="K68" s="109">
        <v>12.579000000000001</v>
      </c>
      <c r="L68" s="84"/>
      <c r="M68" s="109">
        <v>9.9870000000000001</v>
      </c>
      <c r="N68" s="109">
        <v>10.625</v>
      </c>
    </row>
    <row r="69" spans="2:14" x14ac:dyDescent="0.3">
      <c r="B69" s="571"/>
      <c r="C69" s="106" t="s">
        <v>480</v>
      </c>
      <c r="D69" s="108">
        <v>2022</v>
      </c>
      <c r="E69" s="109">
        <v>40.725999999999999</v>
      </c>
      <c r="F69" s="109">
        <v>43.325000000000003</v>
      </c>
      <c r="G69" s="109">
        <v>865.80100000000004</v>
      </c>
      <c r="H69" s="109">
        <v>1155</v>
      </c>
      <c r="I69" s="84"/>
      <c r="J69" s="109">
        <v>11.313000000000001</v>
      </c>
      <c r="K69" s="109">
        <v>12.035</v>
      </c>
      <c r="L69" s="84"/>
      <c r="M69" s="109">
        <v>9.7949999999999999</v>
      </c>
      <c r="N69" s="109">
        <v>10.42</v>
      </c>
    </row>
    <row r="70" spans="2:14" x14ac:dyDescent="0.3">
      <c r="B70" s="571"/>
      <c r="C70" s="106" t="s">
        <v>62</v>
      </c>
      <c r="D70" s="108">
        <v>2022</v>
      </c>
      <c r="E70" s="109">
        <v>45.944000000000003</v>
      </c>
      <c r="F70" s="109">
        <v>49.332999999999998</v>
      </c>
      <c r="G70" s="109">
        <v>529.70500000000004</v>
      </c>
      <c r="H70" s="109">
        <v>1887.8430000000001</v>
      </c>
      <c r="I70" s="84"/>
      <c r="J70" s="109">
        <v>12.762</v>
      </c>
      <c r="K70" s="109">
        <v>13.704000000000001</v>
      </c>
      <c r="L70" s="84"/>
      <c r="M70" s="109">
        <v>6.76</v>
      </c>
      <c r="N70" s="109">
        <v>7.2590000000000003</v>
      </c>
    </row>
    <row r="71" spans="2:14" x14ac:dyDescent="0.3">
      <c r="B71" s="571"/>
      <c r="C71" s="106" t="s">
        <v>481</v>
      </c>
      <c r="D71" s="108">
        <v>2022</v>
      </c>
      <c r="E71" s="109">
        <v>45.46</v>
      </c>
      <c r="F71" s="109">
        <v>47.853000000000002</v>
      </c>
      <c r="G71" s="109">
        <v>673.40099999999995</v>
      </c>
      <c r="H71" s="109">
        <v>1485</v>
      </c>
      <c r="I71" s="84"/>
      <c r="J71" s="109">
        <v>12.628</v>
      </c>
      <c r="K71" s="109">
        <v>13.292</v>
      </c>
      <c r="L71" s="84"/>
      <c r="M71" s="109">
        <v>8.5039999999999996</v>
      </c>
      <c r="N71" s="109">
        <v>8.9510000000000005</v>
      </c>
    </row>
    <row r="72" spans="2:14" x14ac:dyDescent="0.3">
      <c r="B72" s="571"/>
      <c r="C72" s="106" t="s">
        <v>482</v>
      </c>
      <c r="D72" s="108">
        <v>2022</v>
      </c>
      <c r="E72" s="109">
        <v>45.195</v>
      </c>
      <c r="F72" s="109">
        <v>50.08</v>
      </c>
      <c r="G72" s="109">
        <v>0.79400000000000004</v>
      </c>
      <c r="H72" s="109">
        <v>1259723.9269999999</v>
      </c>
      <c r="I72" s="84"/>
      <c r="J72" s="109">
        <v>12.554</v>
      </c>
      <c r="K72" s="109">
        <v>13.911</v>
      </c>
      <c r="L72" s="84"/>
      <c r="M72" s="109">
        <v>0.01</v>
      </c>
      <c r="N72" s="109">
        <v>1.0999999999999999E-2</v>
      </c>
    </row>
    <row r="73" spans="2:14" x14ac:dyDescent="0.3">
      <c r="B73" s="571"/>
      <c r="C73" s="106" t="s">
        <v>483</v>
      </c>
      <c r="D73" s="108">
        <v>2022</v>
      </c>
      <c r="E73" s="109">
        <v>45.195</v>
      </c>
      <c r="F73" s="109">
        <v>50.08</v>
      </c>
      <c r="G73" s="109">
        <v>0.79400000000000004</v>
      </c>
      <c r="H73" s="109">
        <v>1259723.9269999999</v>
      </c>
      <c r="I73" s="84"/>
      <c r="J73" s="109">
        <v>12.554</v>
      </c>
      <c r="K73" s="109">
        <v>13.911</v>
      </c>
      <c r="L73" s="84"/>
      <c r="M73" s="109">
        <v>0.01</v>
      </c>
      <c r="N73" s="109">
        <v>1.0999999999999999E-2</v>
      </c>
    </row>
    <row r="74" spans="2:14" x14ac:dyDescent="0.3">
      <c r="B74" s="571"/>
      <c r="C74" s="106" t="s">
        <v>484</v>
      </c>
      <c r="D74" s="108">
        <v>2022</v>
      </c>
      <c r="E74" s="109">
        <v>46.601999999999997</v>
      </c>
      <c r="F74" s="109">
        <v>50.654000000000003</v>
      </c>
      <c r="G74" s="109">
        <v>366.3</v>
      </c>
      <c r="H74" s="109">
        <v>2730</v>
      </c>
      <c r="I74" s="84"/>
      <c r="J74" s="109">
        <v>12.945</v>
      </c>
      <c r="K74" s="109">
        <v>14.071</v>
      </c>
      <c r="L74" s="84"/>
      <c r="M74" s="109">
        <v>4.742</v>
      </c>
      <c r="N74" s="109">
        <v>5.1539999999999999</v>
      </c>
    </row>
    <row r="75" spans="2:14" x14ac:dyDescent="0.3">
      <c r="B75" s="571"/>
      <c r="C75" s="106" t="s">
        <v>485</v>
      </c>
      <c r="D75" s="108">
        <v>2022</v>
      </c>
      <c r="E75" s="109">
        <v>33.972000000000001</v>
      </c>
      <c r="F75" s="109">
        <v>35.76</v>
      </c>
      <c r="G75" s="110"/>
      <c r="H75" s="110"/>
      <c r="I75" s="84"/>
      <c r="J75" s="109">
        <v>9.4369999999999994</v>
      </c>
      <c r="K75" s="109">
        <v>9.9329999999999998</v>
      </c>
      <c r="L75" s="84"/>
      <c r="M75" s="111"/>
      <c r="N75" s="111"/>
    </row>
    <row r="76" spans="2:14" x14ac:dyDescent="0.3">
      <c r="B76" s="571"/>
      <c r="C76" s="106" t="s">
        <v>486</v>
      </c>
      <c r="D76" s="108">
        <v>2022</v>
      </c>
      <c r="E76" s="109">
        <v>44.652000000000001</v>
      </c>
      <c r="F76" s="109">
        <v>47.003</v>
      </c>
      <c r="G76" s="109">
        <v>741.84</v>
      </c>
      <c r="H76" s="109">
        <v>1348</v>
      </c>
      <c r="I76" s="84"/>
      <c r="J76" s="109">
        <v>12.403</v>
      </c>
      <c r="K76" s="109">
        <v>13.055999999999999</v>
      </c>
      <c r="L76" s="84"/>
      <c r="M76" s="109">
        <v>9.2010000000000005</v>
      </c>
      <c r="N76" s="109">
        <v>9.6859999999999999</v>
      </c>
    </row>
    <row r="77" spans="2:14" x14ac:dyDescent="0.3">
      <c r="B77" s="571"/>
      <c r="C77" s="106" t="s">
        <v>487</v>
      </c>
      <c r="D77" s="108">
        <v>2022</v>
      </c>
      <c r="E77" s="109">
        <v>43.616</v>
      </c>
      <c r="F77" s="109">
        <v>45.997999999999998</v>
      </c>
      <c r="G77" s="109">
        <v>744.67899999999997</v>
      </c>
      <c r="H77" s="109">
        <v>1342.86</v>
      </c>
      <c r="I77" s="84"/>
      <c r="J77" s="109">
        <v>12.116</v>
      </c>
      <c r="K77" s="109">
        <v>12.776999999999999</v>
      </c>
      <c r="L77" s="84"/>
      <c r="M77" s="109">
        <v>9.0220000000000002</v>
      </c>
      <c r="N77" s="109">
        <v>9.5150000000000006</v>
      </c>
    </row>
    <row r="78" spans="2:14" x14ac:dyDescent="0.3">
      <c r="B78" s="571"/>
      <c r="C78" s="106" t="s">
        <v>63</v>
      </c>
      <c r="D78" s="108">
        <v>2022</v>
      </c>
      <c r="E78" s="109">
        <v>46.4</v>
      </c>
      <c r="F78" s="109">
        <v>50.4</v>
      </c>
      <c r="G78" s="109">
        <v>514.40300000000002</v>
      </c>
      <c r="H78" s="109">
        <v>1944</v>
      </c>
      <c r="I78" s="84"/>
      <c r="J78" s="109">
        <v>12.888999999999999</v>
      </c>
      <c r="K78" s="109">
        <v>14</v>
      </c>
      <c r="L78" s="84"/>
      <c r="M78" s="109">
        <v>6.63</v>
      </c>
      <c r="N78" s="109">
        <v>7.202</v>
      </c>
    </row>
    <row r="79" spans="2:14" x14ac:dyDescent="0.3">
      <c r="B79" s="571"/>
      <c r="C79" s="106" t="s">
        <v>488</v>
      </c>
      <c r="D79" s="108">
        <v>2022</v>
      </c>
      <c r="E79" s="109">
        <v>42.207999999999998</v>
      </c>
      <c r="F79" s="112">
        <v>45.2</v>
      </c>
      <c r="G79" s="113">
        <v>844.59500000000003</v>
      </c>
      <c r="H79" s="109">
        <v>1184</v>
      </c>
      <c r="I79" s="84"/>
      <c r="J79" s="109">
        <v>11.724</v>
      </c>
      <c r="K79" s="112">
        <v>12.555999999999999</v>
      </c>
      <c r="L79" s="84"/>
      <c r="M79" s="109">
        <v>9.9019999999999992</v>
      </c>
      <c r="N79" s="112">
        <v>10.603999999999999</v>
      </c>
    </row>
    <row r="80" spans="2:14" x14ac:dyDescent="0.3">
      <c r="B80" s="84"/>
      <c r="C80" s="114"/>
      <c r="D80" s="115"/>
      <c r="E80" s="116"/>
      <c r="F80" s="116"/>
      <c r="G80" s="117"/>
      <c r="H80" s="118"/>
      <c r="I80" s="84"/>
      <c r="J80" s="116"/>
      <c r="K80" s="116"/>
      <c r="L80" s="84"/>
      <c r="M80" s="84"/>
      <c r="N80" s="84"/>
    </row>
    <row r="81" spans="2:14" x14ac:dyDescent="0.3">
      <c r="B81" s="84"/>
      <c r="C81" s="578"/>
      <c r="D81" s="106" t="s">
        <v>250</v>
      </c>
      <c r="E81" s="106" t="s">
        <v>457</v>
      </c>
      <c r="F81" s="106" t="s">
        <v>458</v>
      </c>
      <c r="G81" s="106" t="s">
        <v>459</v>
      </c>
      <c r="H81" s="106" t="s">
        <v>460</v>
      </c>
      <c r="I81" s="84"/>
      <c r="J81" s="106" t="s">
        <v>457</v>
      </c>
      <c r="K81" s="106" t="s">
        <v>458</v>
      </c>
      <c r="L81" s="84"/>
      <c r="M81" s="106" t="s">
        <v>457</v>
      </c>
      <c r="N81" s="106" t="s">
        <v>458</v>
      </c>
    </row>
    <row r="82" spans="2:14" x14ac:dyDescent="0.3">
      <c r="B82" s="84"/>
      <c r="C82" s="578"/>
      <c r="D82" s="107"/>
      <c r="E82" s="107" t="s">
        <v>461</v>
      </c>
      <c r="F82" s="107" t="s">
        <v>461</v>
      </c>
      <c r="G82" s="107" t="s">
        <v>462</v>
      </c>
      <c r="H82" s="119" t="s">
        <v>463</v>
      </c>
      <c r="I82" s="84"/>
      <c r="J82" s="106" t="s">
        <v>464</v>
      </c>
      <c r="K82" s="106" t="s">
        <v>464</v>
      </c>
      <c r="L82" s="84"/>
      <c r="M82" s="106" t="s">
        <v>465</v>
      </c>
      <c r="N82" s="106" t="s">
        <v>465</v>
      </c>
    </row>
    <row r="83" spans="2:14" x14ac:dyDescent="0.3">
      <c r="B83" s="571" t="s">
        <v>489</v>
      </c>
      <c r="C83" s="106" t="s">
        <v>490</v>
      </c>
      <c r="D83" s="108">
        <v>2022</v>
      </c>
      <c r="E83" s="109">
        <v>37.200000000000003</v>
      </c>
      <c r="F83" s="109">
        <v>38.700000000000003</v>
      </c>
      <c r="G83" s="109">
        <v>890</v>
      </c>
      <c r="H83" s="120">
        <v>1123.596</v>
      </c>
      <c r="I83" s="121"/>
      <c r="J83" s="109">
        <v>10.333</v>
      </c>
      <c r="K83" s="109">
        <v>10.75</v>
      </c>
      <c r="L83" s="84"/>
      <c r="M83" s="109">
        <v>9.1969999999999992</v>
      </c>
      <c r="N83" s="109">
        <v>9.5679999999999996</v>
      </c>
    </row>
    <row r="84" spans="2:14" x14ac:dyDescent="0.3">
      <c r="B84" s="571"/>
      <c r="C84" s="106" t="s">
        <v>491</v>
      </c>
      <c r="D84" s="108">
        <v>2022</v>
      </c>
      <c r="E84" s="109">
        <v>44</v>
      </c>
      <c r="F84" s="109">
        <v>45.832999999999998</v>
      </c>
      <c r="G84" s="109">
        <v>780</v>
      </c>
      <c r="H84" s="120">
        <v>1282.0509999999999</v>
      </c>
      <c r="I84" s="121"/>
      <c r="J84" s="109">
        <v>12.222</v>
      </c>
      <c r="K84" s="109">
        <v>12.731</v>
      </c>
      <c r="L84" s="84"/>
      <c r="M84" s="109">
        <v>9.5329999999999995</v>
      </c>
      <c r="N84" s="109">
        <v>9.9309999999999992</v>
      </c>
    </row>
    <row r="85" spans="2:14" x14ac:dyDescent="0.3">
      <c r="B85" s="571"/>
      <c r="C85" s="106" t="s">
        <v>492</v>
      </c>
      <c r="D85" s="108">
        <v>2022</v>
      </c>
      <c r="E85" s="109">
        <v>26.8</v>
      </c>
      <c r="F85" s="109">
        <v>29.7</v>
      </c>
      <c r="G85" s="109">
        <v>794</v>
      </c>
      <c r="H85" s="120">
        <v>1259.4459999999999</v>
      </c>
      <c r="I85" s="121"/>
      <c r="J85" s="109">
        <v>7.444</v>
      </c>
      <c r="K85" s="109">
        <v>8.25</v>
      </c>
      <c r="L85" s="84"/>
      <c r="M85" s="109">
        <v>5.9109999999999996</v>
      </c>
      <c r="N85" s="109">
        <v>6.5510000000000002</v>
      </c>
    </row>
    <row r="86" spans="2:14" x14ac:dyDescent="0.3">
      <c r="B86" s="571"/>
      <c r="C86" s="106" t="s">
        <v>493</v>
      </c>
      <c r="D86" s="108">
        <v>2022</v>
      </c>
      <c r="E86" s="109">
        <v>36.299999999999997</v>
      </c>
      <c r="F86" s="109">
        <v>39.628999999999998</v>
      </c>
      <c r="G86" s="109">
        <v>750</v>
      </c>
      <c r="H86" s="120">
        <v>1333.3330000000001</v>
      </c>
      <c r="I86" s="121"/>
      <c r="J86" s="109">
        <v>10.083</v>
      </c>
      <c r="K86" s="109">
        <v>11.007999999999999</v>
      </c>
      <c r="L86" s="84"/>
      <c r="M86" s="109">
        <v>7.5629999999999997</v>
      </c>
      <c r="N86" s="109">
        <v>8.2560000000000002</v>
      </c>
    </row>
    <row r="87" spans="2:14" x14ac:dyDescent="0.3">
      <c r="B87" s="571"/>
      <c r="C87" s="106" t="s">
        <v>494</v>
      </c>
      <c r="D87" s="108">
        <v>2022</v>
      </c>
      <c r="E87" s="109">
        <v>20</v>
      </c>
      <c r="F87" s="109">
        <v>21.978000000000002</v>
      </c>
      <c r="G87" s="109">
        <v>1.1499999999999999</v>
      </c>
      <c r="H87" s="120">
        <v>869565.21699999995</v>
      </c>
      <c r="I87" s="121"/>
      <c r="J87" s="109">
        <v>5.556</v>
      </c>
      <c r="K87" s="109">
        <v>6.1050000000000004</v>
      </c>
      <c r="L87" s="84"/>
      <c r="M87" s="109">
        <v>6.0000000000000001E-3</v>
      </c>
      <c r="N87" s="109">
        <v>7.0000000000000001E-3</v>
      </c>
    </row>
    <row r="88" spans="2:14" x14ac:dyDescent="0.3">
      <c r="B88" s="571"/>
      <c r="C88" s="106" t="s">
        <v>495</v>
      </c>
      <c r="D88" s="108">
        <v>2022</v>
      </c>
      <c r="E88" s="109">
        <v>49</v>
      </c>
      <c r="F88" s="109">
        <v>54.296999999999997</v>
      </c>
      <c r="G88" s="109">
        <v>0.72499999999999998</v>
      </c>
      <c r="H88" s="120">
        <v>1379355.673</v>
      </c>
      <c r="I88" s="121"/>
      <c r="J88" s="109">
        <v>13.611000000000001</v>
      </c>
      <c r="K88" s="109">
        <v>15.082000000000001</v>
      </c>
      <c r="L88" s="84"/>
      <c r="M88" s="109">
        <v>0.01</v>
      </c>
      <c r="N88" s="109">
        <v>1.0999999999999999E-2</v>
      </c>
    </row>
    <row r="89" spans="2:14" x14ac:dyDescent="0.3">
      <c r="B89" s="571"/>
      <c r="C89" s="106" t="s">
        <v>75</v>
      </c>
      <c r="D89" s="108">
        <v>2022</v>
      </c>
      <c r="E89" s="109">
        <v>45.195</v>
      </c>
      <c r="F89" s="109">
        <v>50.08</v>
      </c>
      <c r="G89" s="109">
        <v>175</v>
      </c>
      <c r="H89" s="120">
        <v>5714.2860000000001</v>
      </c>
      <c r="I89" s="121"/>
      <c r="J89" s="109">
        <v>12.554</v>
      </c>
      <c r="K89" s="109">
        <v>13.911</v>
      </c>
      <c r="L89" s="84"/>
      <c r="M89" s="109">
        <v>2.1970000000000001</v>
      </c>
      <c r="N89" s="109">
        <v>2.4340000000000002</v>
      </c>
    </row>
    <row r="90" spans="2:14" x14ac:dyDescent="0.3">
      <c r="B90" s="571"/>
      <c r="C90" s="106" t="s">
        <v>496</v>
      </c>
      <c r="D90" s="108">
        <v>2022</v>
      </c>
      <c r="E90" s="109">
        <v>13.388</v>
      </c>
      <c r="F90" s="109">
        <v>15.75</v>
      </c>
      <c r="G90" s="109">
        <v>160</v>
      </c>
      <c r="H90" s="120">
        <v>6250</v>
      </c>
      <c r="I90" s="121"/>
      <c r="J90" s="109">
        <v>3.7189999999999999</v>
      </c>
      <c r="K90" s="109">
        <v>4.375</v>
      </c>
      <c r="L90" s="84"/>
      <c r="M90" s="111"/>
      <c r="N90" s="111"/>
    </row>
    <row r="91" spans="2:14" x14ac:dyDescent="0.3">
      <c r="B91" s="571"/>
      <c r="C91" s="106" t="s">
        <v>497</v>
      </c>
      <c r="D91" s="108">
        <v>2022</v>
      </c>
      <c r="E91" s="109">
        <v>12.3</v>
      </c>
      <c r="F91" s="109">
        <v>13.516</v>
      </c>
      <c r="G91" s="109">
        <v>1.3</v>
      </c>
      <c r="H91" s="120">
        <v>769230.76899999997</v>
      </c>
      <c r="I91" s="121"/>
      <c r="J91" s="109">
        <v>3.4169999999999998</v>
      </c>
      <c r="K91" s="109">
        <v>3.7549999999999999</v>
      </c>
      <c r="L91" s="84"/>
      <c r="M91" s="109">
        <v>4.0000000000000001E-3</v>
      </c>
      <c r="N91" s="109">
        <v>5.0000000000000001E-3</v>
      </c>
    </row>
    <row r="92" spans="2:14" x14ac:dyDescent="0.3">
      <c r="B92" s="571"/>
      <c r="C92" s="106" t="s">
        <v>74</v>
      </c>
      <c r="D92" s="108">
        <v>2022</v>
      </c>
      <c r="E92" s="109">
        <v>45.195</v>
      </c>
      <c r="F92" s="109">
        <v>50.08</v>
      </c>
      <c r="G92" s="109">
        <v>452.48899999999998</v>
      </c>
      <c r="H92" s="120">
        <v>2210</v>
      </c>
      <c r="I92" s="121"/>
      <c r="J92" s="109">
        <v>12.554</v>
      </c>
      <c r="K92" s="109">
        <v>13.911</v>
      </c>
      <c r="L92" s="84"/>
      <c r="M92" s="109">
        <v>5.681</v>
      </c>
      <c r="N92" s="109">
        <v>6.2949999999999999</v>
      </c>
    </row>
    <row r="93" spans="2:14" x14ac:dyDescent="0.3">
      <c r="B93" s="571"/>
      <c r="C93" s="106" t="s">
        <v>498</v>
      </c>
      <c r="D93" s="108">
        <v>2022</v>
      </c>
      <c r="E93" s="109">
        <v>13.6</v>
      </c>
      <c r="F93" s="109">
        <v>14.712999999999999</v>
      </c>
      <c r="G93" s="109">
        <v>253</v>
      </c>
      <c r="H93" s="120">
        <v>3952.569</v>
      </c>
      <c r="I93" s="84"/>
      <c r="J93" s="109">
        <v>3.778</v>
      </c>
      <c r="K93" s="109">
        <v>4.0869999999999997</v>
      </c>
      <c r="L93" s="84"/>
      <c r="M93" s="110"/>
      <c r="N93" s="111"/>
    </row>
    <row r="94" spans="2:14" x14ac:dyDescent="0.3">
      <c r="B94" s="571"/>
      <c r="C94" s="106" t="s">
        <v>499</v>
      </c>
      <c r="D94" s="108">
        <v>2022</v>
      </c>
      <c r="E94" s="109">
        <v>14.71</v>
      </c>
      <c r="F94" s="109">
        <v>16.256</v>
      </c>
      <c r="G94" s="109">
        <v>425</v>
      </c>
      <c r="H94" s="120">
        <v>2352.9409999999998</v>
      </c>
      <c r="I94" s="84"/>
      <c r="J94" s="109">
        <v>4.0860000000000003</v>
      </c>
      <c r="K94" s="109">
        <v>4.516</v>
      </c>
      <c r="L94" s="84"/>
      <c r="M94" s="110"/>
      <c r="N94" s="111"/>
    </row>
    <row r="95" spans="2:14" x14ac:dyDescent="0.3">
      <c r="B95" s="571"/>
      <c r="C95" s="106" t="s">
        <v>500</v>
      </c>
      <c r="D95" s="108">
        <v>2022</v>
      </c>
      <c r="E95" s="109">
        <v>17.28</v>
      </c>
      <c r="F95" s="109">
        <v>18.693999999999999</v>
      </c>
      <c r="G95" s="122">
        <v>650</v>
      </c>
      <c r="H95" s="113">
        <v>1538.462</v>
      </c>
      <c r="I95" s="84"/>
      <c r="J95" s="109">
        <v>4.8</v>
      </c>
      <c r="K95" s="109">
        <v>5.1929999999999996</v>
      </c>
      <c r="L95" s="84"/>
      <c r="M95" s="123"/>
      <c r="N95" s="123"/>
    </row>
    <row r="96" spans="2:14" x14ac:dyDescent="0.3">
      <c r="B96" s="84"/>
      <c r="C96" s="126"/>
      <c r="D96" s="118"/>
      <c r="E96" s="84"/>
      <c r="F96" s="84"/>
      <c r="G96" s="84"/>
      <c r="H96" s="124"/>
      <c r="I96" s="84"/>
      <c r="J96" s="84"/>
      <c r="K96" s="84"/>
      <c r="L96" s="84"/>
      <c r="M96" s="84"/>
      <c r="N96" s="84"/>
    </row>
    <row r="97" spans="2:14" x14ac:dyDescent="0.3">
      <c r="B97" s="84"/>
      <c r="C97" s="578"/>
      <c r="D97" s="106" t="s">
        <v>250</v>
      </c>
      <c r="E97" s="106" t="s">
        <v>457</v>
      </c>
      <c r="F97" s="106" t="s">
        <v>458</v>
      </c>
      <c r="G97" s="106" t="s">
        <v>459</v>
      </c>
      <c r="H97" s="106" t="s">
        <v>460</v>
      </c>
      <c r="I97" s="84"/>
      <c r="J97" s="106" t="s">
        <v>457</v>
      </c>
      <c r="K97" s="106" t="s">
        <v>458</v>
      </c>
      <c r="L97" s="84"/>
      <c r="M97" s="106" t="s">
        <v>457</v>
      </c>
      <c r="N97" s="106" t="s">
        <v>458</v>
      </c>
    </row>
    <row r="98" spans="2:14" x14ac:dyDescent="0.3">
      <c r="B98" s="84"/>
      <c r="C98" s="578"/>
      <c r="D98" s="107"/>
      <c r="E98" s="107" t="s">
        <v>461</v>
      </c>
      <c r="F98" s="107" t="s">
        <v>461</v>
      </c>
      <c r="G98" s="107" t="s">
        <v>462</v>
      </c>
      <c r="H98" s="125" t="s">
        <v>463</v>
      </c>
      <c r="I98" s="84"/>
      <c r="J98" s="106" t="s">
        <v>464</v>
      </c>
      <c r="K98" s="106" t="s">
        <v>464</v>
      </c>
      <c r="L98" s="84"/>
      <c r="M98" s="106" t="s">
        <v>465</v>
      </c>
      <c r="N98" s="106" t="s">
        <v>465</v>
      </c>
    </row>
    <row r="99" spans="2:14" ht="15" x14ac:dyDescent="0.3">
      <c r="B99" s="571" t="s">
        <v>501</v>
      </c>
      <c r="C99" s="106" t="s">
        <v>502</v>
      </c>
      <c r="D99" s="108">
        <v>2022</v>
      </c>
      <c r="E99" s="109">
        <v>50</v>
      </c>
      <c r="F99" s="109">
        <v>55.405000000000001</v>
      </c>
      <c r="G99" s="109">
        <v>0.71599999999999997</v>
      </c>
      <c r="H99" s="120">
        <v>1397112.108</v>
      </c>
      <c r="I99" s="84"/>
      <c r="J99" s="109">
        <v>13.888999999999999</v>
      </c>
      <c r="K99" s="109">
        <v>15.39</v>
      </c>
      <c r="L99" s="84"/>
      <c r="M99" s="109">
        <v>0.01</v>
      </c>
      <c r="N99" s="109">
        <v>1.0999999999999999E-2</v>
      </c>
    </row>
    <row r="100" spans="2:14" ht="15" x14ac:dyDescent="0.3">
      <c r="B100" s="571"/>
      <c r="C100" s="106" t="s">
        <v>503</v>
      </c>
      <c r="D100" s="108">
        <v>2022</v>
      </c>
      <c r="E100" s="109">
        <v>0</v>
      </c>
      <c r="F100" s="109">
        <v>0</v>
      </c>
      <c r="G100" s="122">
        <v>1.964</v>
      </c>
      <c r="H100" s="113">
        <v>509290.37800000003</v>
      </c>
      <c r="I100" s="84"/>
      <c r="J100" s="109">
        <v>0</v>
      </c>
      <c r="K100" s="109">
        <v>0</v>
      </c>
      <c r="L100" s="84"/>
      <c r="M100" s="109">
        <v>0</v>
      </c>
      <c r="N100" s="109">
        <v>0</v>
      </c>
    </row>
    <row r="102" spans="2:14" x14ac:dyDescent="0.3">
      <c r="B102" s="572" t="s">
        <v>456</v>
      </c>
      <c r="C102" s="573"/>
      <c r="D102" s="573"/>
      <c r="E102" s="573"/>
      <c r="F102" s="573"/>
      <c r="G102" s="573"/>
      <c r="H102" s="573"/>
      <c r="I102" s="573"/>
      <c r="J102" s="573"/>
      <c r="K102" s="573"/>
      <c r="L102" s="573"/>
      <c r="M102" s="573"/>
      <c r="N102" s="574"/>
    </row>
  </sheetData>
  <mergeCells count="15">
    <mergeCell ref="B99:B100"/>
    <mergeCell ref="B102:N102"/>
    <mergeCell ref="B2:N2"/>
    <mergeCell ref="B52:N52"/>
    <mergeCell ref="C54:C55"/>
    <mergeCell ref="B56:B79"/>
    <mergeCell ref="C81:C82"/>
    <mergeCell ref="B83:B95"/>
    <mergeCell ref="C97:C98"/>
    <mergeCell ref="B5:B9"/>
    <mergeCell ref="B13:B17"/>
    <mergeCell ref="B21:B26"/>
    <mergeCell ref="B30:B34"/>
    <mergeCell ref="B38:B42"/>
    <mergeCell ref="B46:B50"/>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D2A8-F78B-4A0D-9D61-09FC54F440BB}">
  <dimension ref="A1:R44"/>
  <sheetViews>
    <sheetView showGridLines="0" showRowColHeaders="0" zoomScale="70" zoomScaleNormal="70" workbookViewId="0">
      <selection activeCell="F10" sqref="F10"/>
    </sheetView>
  </sheetViews>
  <sheetFormatPr defaultColWidth="0" defaultRowHeight="14.5" zeroHeight="1" x14ac:dyDescent="0.35"/>
  <cols>
    <col min="1" max="1" width="4.1796875" style="72" customWidth="1"/>
    <col min="2" max="5" width="11.54296875" style="72" customWidth="1"/>
    <col min="6" max="6" width="11.54296875" style="33" customWidth="1"/>
    <col min="7" max="7" width="14.54296875" style="72" customWidth="1"/>
    <col min="8" max="11" width="8.7265625" style="72" customWidth="1"/>
    <col min="12" max="12" width="3.54296875" style="72" customWidth="1"/>
    <col min="13" max="16384" width="8.7265625" style="72" hidden="1"/>
  </cols>
  <sheetData>
    <row r="1" spans="2:18" x14ac:dyDescent="0.35">
      <c r="O1" s="72">
        <v>2020</v>
      </c>
      <c r="P1" s="72" t="s">
        <v>3</v>
      </c>
      <c r="Q1" s="72" t="s">
        <v>4</v>
      </c>
      <c r="R1" s="72" t="s">
        <v>5</v>
      </c>
    </row>
    <row r="2" spans="2:18" x14ac:dyDescent="0.35">
      <c r="B2" s="151"/>
      <c r="C2" s="151"/>
      <c r="D2" s="151"/>
      <c r="E2" s="151"/>
      <c r="F2" s="55"/>
      <c r="G2" s="151"/>
      <c r="H2" s="151"/>
      <c r="I2" s="151"/>
      <c r="J2" s="151"/>
      <c r="K2" s="151"/>
      <c r="O2" s="72">
        <v>2021</v>
      </c>
      <c r="P2" s="72" t="s">
        <v>6</v>
      </c>
      <c r="Q2" s="72" t="s">
        <v>7</v>
      </c>
      <c r="R2" s="72" t="s">
        <v>8</v>
      </c>
    </row>
    <row r="3" spans="2:18" ht="6.65" customHeight="1" x14ac:dyDescent="0.35">
      <c r="B3" s="152"/>
      <c r="C3" s="152"/>
      <c r="D3" s="152"/>
      <c r="E3" s="152"/>
      <c r="F3" s="61"/>
      <c r="G3" s="152"/>
      <c r="H3" s="152"/>
      <c r="I3" s="152"/>
      <c r="J3" s="152"/>
      <c r="K3" s="152"/>
      <c r="O3" s="72">
        <v>2022</v>
      </c>
      <c r="P3" s="72" t="s">
        <v>9</v>
      </c>
      <c r="R3" s="72" t="s">
        <v>10</v>
      </c>
    </row>
    <row r="4" spans="2:18" ht="11.15" customHeight="1" x14ac:dyDescent="0.35">
      <c r="B4" s="153"/>
      <c r="C4" s="153"/>
      <c r="D4" s="153"/>
      <c r="E4" s="153"/>
      <c r="F4" s="63"/>
      <c r="G4" s="153"/>
      <c r="H4" s="153"/>
      <c r="I4" s="153"/>
      <c r="J4" s="153"/>
      <c r="K4" s="153"/>
      <c r="O4" s="72">
        <v>2023</v>
      </c>
      <c r="R4" s="72" t="s">
        <v>11</v>
      </c>
    </row>
    <row r="5" spans="2:18" ht="22" customHeight="1" x14ac:dyDescent="0.35">
      <c r="B5" s="157" t="s">
        <v>12</v>
      </c>
      <c r="C5" s="153"/>
      <c r="D5" s="153"/>
      <c r="E5" s="153"/>
      <c r="F5" s="63"/>
      <c r="G5" s="153"/>
      <c r="H5" s="153"/>
      <c r="I5" s="153"/>
      <c r="J5" s="153"/>
      <c r="K5" s="153"/>
      <c r="R5" s="72" t="s">
        <v>13</v>
      </c>
    </row>
    <row r="6" spans="2:18" ht="22" customHeight="1" x14ac:dyDescent="0.35">
      <c r="B6" s="156" t="s">
        <v>14</v>
      </c>
      <c r="C6" s="153"/>
      <c r="D6" s="153"/>
      <c r="E6" s="153"/>
      <c r="F6" s="63"/>
      <c r="G6" s="153"/>
      <c r="H6" s="153"/>
      <c r="I6" s="153"/>
      <c r="J6" s="153"/>
      <c r="K6" s="153"/>
      <c r="R6" s="72" t="s">
        <v>15</v>
      </c>
    </row>
    <row r="7" spans="2:18" ht="11.15" customHeight="1" x14ac:dyDescent="0.35">
      <c r="B7" s="153"/>
      <c r="C7" s="153"/>
      <c r="D7" s="153"/>
      <c r="E7" s="153"/>
      <c r="F7" s="63"/>
      <c r="G7" s="153"/>
      <c r="H7" s="153"/>
      <c r="I7" s="153"/>
      <c r="J7" s="153"/>
      <c r="K7" s="153"/>
      <c r="R7" s="72" t="s">
        <v>16</v>
      </c>
    </row>
    <row r="8" spans="2:18" ht="22" customHeight="1" x14ac:dyDescent="0.35">
      <c r="B8" s="156" t="s">
        <v>603</v>
      </c>
      <c r="C8" s="156"/>
      <c r="D8" s="153"/>
      <c r="E8" s="153"/>
      <c r="F8" s="402"/>
      <c r="G8" s="402"/>
      <c r="H8" s="402"/>
      <c r="I8" s="402"/>
      <c r="J8" s="402"/>
      <c r="K8" s="153"/>
      <c r="R8" s="72" t="s">
        <v>18</v>
      </c>
    </row>
    <row r="9" spans="2:18" ht="11.15" customHeight="1" x14ac:dyDescent="0.35">
      <c r="B9" s="156"/>
      <c r="C9" s="156"/>
      <c r="D9" s="153"/>
      <c r="E9" s="153"/>
      <c r="F9" s="63"/>
      <c r="G9" s="153"/>
      <c r="H9" s="153"/>
      <c r="I9" s="153"/>
      <c r="J9" s="153"/>
      <c r="K9" s="153"/>
      <c r="R9" s="72" t="s">
        <v>19</v>
      </c>
    </row>
    <row r="10" spans="2:18" ht="22" customHeight="1" x14ac:dyDescent="0.35">
      <c r="B10" s="156" t="s">
        <v>17</v>
      </c>
      <c r="C10" s="156"/>
      <c r="D10" s="153"/>
      <c r="E10" s="153"/>
      <c r="F10" s="155"/>
      <c r="G10" s="156"/>
      <c r="H10" s="156"/>
      <c r="I10" s="156"/>
      <c r="J10" s="156"/>
      <c r="K10" s="153"/>
      <c r="R10" s="72" t="s">
        <v>21</v>
      </c>
    </row>
    <row r="11" spans="2:18" ht="11.15" customHeight="1" x14ac:dyDescent="0.35">
      <c r="B11" s="156"/>
      <c r="C11" s="156"/>
      <c r="D11" s="153"/>
      <c r="E11" s="153"/>
      <c r="F11" s="156"/>
      <c r="G11" s="156"/>
      <c r="H11" s="156"/>
      <c r="I11" s="156"/>
      <c r="J11" s="156"/>
      <c r="K11" s="153"/>
      <c r="R11" s="72" t="s">
        <v>22</v>
      </c>
    </row>
    <row r="12" spans="2:18" ht="22" customHeight="1" x14ac:dyDescent="0.35">
      <c r="B12" s="156" t="s">
        <v>20</v>
      </c>
      <c r="C12" s="156"/>
      <c r="D12" s="153"/>
      <c r="E12" s="153"/>
      <c r="F12" s="155"/>
      <c r="G12" s="156"/>
      <c r="H12" s="156"/>
      <c r="I12" s="156"/>
      <c r="J12" s="156"/>
      <c r="K12" s="153"/>
      <c r="R12" s="72" t="s">
        <v>24</v>
      </c>
    </row>
    <row r="13" spans="2:18" ht="11.15" customHeight="1" x14ac:dyDescent="0.35">
      <c r="B13" s="156"/>
      <c r="C13" s="156"/>
      <c r="D13" s="153"/>
      <c r="E13" s="153"/>
      <c r="F13" s="156"/>
      <c r="G13" s="156"/>
      <c r="H13" s="156"/>
      <c r="I13" s="156"/>
      <c r="J13" s="156"/>
      <c r="K13" s="153"/>
      <c r="R13" s="72" t="s">
        <v>25</v>
      </c>
    </row>
    <row r="14" spans="2:18" ht="22" customHeight="1" x14ac:dyDescent="0.35">
      <c r="B14" s="393" t="s">
        <v>23</v>
      </c>
      <c r="C14" s="393"/>
      <c r="D14" s="153"/>
      <c r="E14" s="153"/>
      <c r="F14" s="392"/>
      <c r="G14" s="392"/>
      <c r="H14" s="392"/>
      <c r="I14" s="392"/>
      <c r="J14" s="392"/>
      <c r="K14" s="153"/>
      <c r="R14" s="72" t="s">
        <v>26</v>
      </c>
    </row>
    <row r="15" spans="2:18" ht="22" customHeight="1" x14ac:dyDescent="0.35">
      <c r="B15" s="393"/>
      <c r="C15" s="393"/>
      <c r="D15" s="153"/>
      <c r="E15" s="153"/>
      <c r="F15" s="392"/>
      <c r="G15" s="392"/>
      <c r="H15" s="392"/>
      <c r="I15" s="392"/>
      <c r="J15" s="392"/>
      <c r="K15" s="153"/>
      <c r="R15" s="72" t="s">
        <v>28</v>
      </c>
    </row>
    <row r="16" spans="2:18" ht="11.15" customHeight="1" x14ac:dyDescent="0.35">
      <c r="B16" s="156"/>
      <c r="C16" s="156"/>
      <c r="D16" s="153"/>
      <c r="E16" s="153"/>
      <c r="F16" s="156"/>
      <c r="G16" s="156"/>
      <c r="H16" s="156"/>
      <c r="I16" s="156"/>
      <c r="J16" s="156"/>
      <c r="K16" s="49"/>
      <c r="R16" s="72" t="s">
        <v>29</v>
      </c>
    </row>
    <row r="17" spans="2:18" ht="22" customHeight="1" x14ac:dyDescent="0.35">
      <c r="B17" s="156" t="s">
        <v>27</v>
      </c>
      <c r="C17" s="156"/>
      <c r="D17" s="153"/>
      <c r="E17" s="153"/>
      <c r="F17" s="155"/>
      <c r="G17" s="156"/>
      <c r="H17" s="156"/>
      <c r="I17" s="156"/>
      <c r="J17" s="156"/>
      <c r="K17" s="49"/>
      <c r="R17" s="72" t="s">
        <v>31</v>
      </c>
    </row>
    <row r="18" spans="2:18" ht="11.15" customHeight="1" x14ac:dyDescent="0.35">
      <c r="B18" s="49"/>
      <c r="C18" s="49"/>
      <c r="D18" s="153"/>
      <c r="E18" s="153"/>
      <c r="F18" s="63"/>
      <c r="G18" s="49"/>
      <c r="H18" s="49"/>
      <c r="I18" s="49"/>
      <c r="J18" s="49"/>
      <c r="K18" s="49"/>
      <c r="R18" s="72" t="s">
        <v>32</v>
      </c>
    </row>
    <row r="19" spans="2:18" ht="22" customHeight="1" x14ac:dyDescent="0.35">
      <c r="B19" s="397" t="s">
        <v>388</v>
      </c>
      <c r="C19" s="397"/>
      <c r="D19" s="397"/>
      <c r="E19" s="397"/>
      <c r="F19" s="397"/>
      <c r="G19" s="397"/>
      <c r="H19" s="397"/>
      <c r="I19" s="397"/>
      <c r="J19" s="397"/>
      <c r="K19" s="397"/>
      <c r="R19" s="72" t="s">
        <v>389</v>
      </c>
    </row>
    <row r="20" spans="2:18" ht="11.15" customHeight="1" x14ac:dyDescent="0.35">
      <c r="B20" s="49"/>
      <c r="C20" s="49"/>
      <c r="D20" s="153"/>
      <c r="E20" s="153"/>
      <c r="F20" s="63"/>
      <c r="G20" s="49"/>
      <c r="H20" s="49"/>
      <c r="I20" s="49"/>
      <c r="J20" s="49"/>
      <c r="K20" s="49"/>
      <c r="R20" s="72" t="s">
        <v>33</v>
      </c>
    </row>
    <row r="21" spans="2:18" ht="22" customHeight="1" x14ac:dyDescent="0.35">
      <c r="B21" s="394" t="s">
        <v>382</v>
      </c>
      <c r="C21" s="394"/>
      <c r="D21" s="394"/>
      <c r="E21" s="394"/>
      <c r="F21" s="396"/>
      <c r="G21" s="396"/>
      <c r="H21" s="395" t="s">
        <v>30</v>
      </c>
      <c r="I21" s="49"/>
      <c r="J21" s="49"/>
      <c r="K21" s="49"/>
      <c r="R21" s="72" t="s">
        <v>34</v>
      </c>
    </row>
    <row r="22" spans="2:18" ht="22" customHeight="1" x14ac:dyDescent="0.35">
      <c r="B22" s="394"/>
      <c r="C22" s="394"/>
      <c r="D22" s="394"/>
      <c r="E22" s="394"/>
      <c r="F22" s="396"/>
      <c r="G22" s="396"/>
      <c r="H22" s="395"/>
      <c r="I22" s="49"/>
      <c r="J22" s="49"/>
      <c r="K22" s="49"/>
      <c r="R22" s="72" t="s">
        <v>35</v>
      </c>
    </row>
    <row r="23" spans="2:18" ht="11.15" customHeight="1" x14ac:dyDescent="0.35">
      <c r="B23" s="154"/>
      <c r="C23" s="154"/>
      <c r="D23" s="154"/>
      <c r="E23" s="154"/>
      <c r="F23" s="80"/>
      <c r="G23" s="154"/>
      <c r="H23" s="63"/>
      <c r="I23" s="49"/>
      <c r="J23" s="49"/>
      <c r="K23" s="49"/>
    </row>
    <row r="24" spans="2:18" ht="22" customHeight="1" x14ac:dyDescent="0.35">
      <c r="B24" s="398" t="s">
        <v>387</v>
      </c>
      <c r="C24" s="398"/>
      <c r="D24" s="398"/>
      <c r="E24" s="398"/>
      <c r="F24" s="398"/>
      <c r="G24" s="391" t="s">
        <v>378</v>
      </c>
      <c r="H24" s="391" t="s">
        <v>379</v>
      </c>
      <c r="I24" s="391"/>
      <c r="J24" s="391"/>
      <c r="K24" s="71"/>
    </row>
    <row r="25" spans="2:18" ht="22" customHeight="1" x14ac:dyDescent="0.35">
      <c r="B25" s="398"/>
      <c r="C25" s="398"/>
      <c r="D25" s="398"/>
      <c r="E25" s="398"/>
      <c r="F25" s="398"/>
      <c r="G25" s="391"/>
      <c r="H25" s="391"/>
      <c r="I25" s="391"/>
      <c r="J25" s="391"/>
      <c r="K25" s="70"/>
    </row>
    <row r="26" spans="2:18" ht="22" customHeight="1" x14ac:dyDescent="0.35">
      <c r="B26" s="400" t="s">
        <v>380</v>
      </c>
      <c r="C26" s="400"/>
      <c r="D26" s="400"/>
      <c r="E26" s="400"/>
      <c r="F26" s="400"/>
      <c r="G26" s="158"/>
      <c r="H26" s="404"/>
      <c r="I26" s="404"/>
      <c r="J26" s="404"/>
      <c r="K26" s="49"/>
    </row>
    <row r="27" spans="2:18" ht="22" customHeight="1" x14ac:dyDescent="0.35">
      <c r="B27" s="399" t="s">
        <v>381</v>
      </c>
      <c r="C27" s="399"/>
      <c r="D27" s="399"/>
      <c r="E27" s="399"/>
      <c r="F27" s="399"/>
      <c r="G27" s="159"/>
      <c r="H27" s="405"/>
      <c r="I27" s="405"/>
      <c r="J27" s="405"/>
      <c r="K27" s="49"/>
    </row>
    <row r="28" spans="2:18" ht="22" customHeight="1" x14ac:dyDescent="0.35">
      <c r="B28" s="399" t="s">
        <v>366</v>
      </c>
      <c r="C28" s="399"/>
      <c r="D28" s="399"/>
      <c r="E28" s="399"/>
      <c r="F28" s="399"/>
      <c r="G28" s="159"/>
      <c r="H28" s="405"/>
      <c r="I28" s="405"/>
      <c r="J28" s="405"/>
      <c r="K28" s="49"/>
    </row>
    <row r="29" spans="2:18" ht="22" customHeight="1" x14ac:dyDescent="0.35">
      <c r="B29" s="399" t="s">
        <v>367</v>
      </c>
      <c r="C29" s="399"/>
      <c r="D29" s="399"/>
      <c r="E29" s="399"/>
      <c r="F29" s="399"/>
      <c r="G29" s="159"/>
      <c r="H29" s="405"/>
      <c r="I29" s="405"/>
      <c r="J29" s="405"/>
      <c r="K29" s="49"/>
    </row>
    <row r="30" spans="2:18" ht="22" customHeight="1" x14ac:dyDescent="0.35">
      <c r="B30" s="399" t="s">
        <v>368</v>
      </c>
      <c r="C30" s="399"/>
      <c r="D30" s="399"/>
      <c r="E30" s="399"/>
      <c r="F30" s="399"/>
      <c r="G30" s="159"/>
      <c r="H30" s="405"/>
      <c r="I30" s="405"/>
      <c r="J30" s="405"/>
      <c r="K30" s="49"/>
    </row>
    <row r="31" spans="2:18" ht="22" customHeight="1" x14ac:dyDescent="0.35">
      <c r="B31" s="399" t="s">
        <v>369</v>
      </c>
      <c r="C31" s="399"/>
      <c r="D31" s="399"/>
      <c r="E31" s="399"/>
      <c r="F31" s="399"/>
      <c r="G31" s="159"/>
      <c r="H31" s="405"/>
      <c r="I31" s="405"/>
      <c r="J31" s="405"/>
      <c r="K31" s="49"/>
    </row>
    <row r="32" spans="2:18" ht="22" customHeight="1" x14ac:dyDescent="0.35">
      <c r="B32" s="399" t="s">
        <v>370</v>
      </c>
      <c r="C32" s="399"/>
      <c r="D32" s="399"/>
      <c r="E32" s="399"/>
      <c r="F32" s="399"/>
      <c r="G32" s="159"/>
      <c r="H32" s="405"/>
      <c r="I32" s="405"/>
      <c r="J32" s="405"/>
      <c r="K32" s="49"/>
    </row>
    <row r="33" spans="2:11" ht="22" customHeight="1" x14ac:dyDescent="0.35">
      <c r="B33" s="399" t="s">
        <v>1427</v>
      </c>
      <c r="C33" s="399"/>
      <c r="D33" s="399"/>
      <c r="E33" s="399"/>
      <c r="F33" s="399"/>
      <c r="G33" s="159"/>
      <c r="H33" s="405"/>
      <c r="I33" s="405"/>
      <c r="J33" s="405"/>
      <c r="K33" s="49"/>
    </row>
    <row r="34" spans="2:11" ht="22" customHeight="1" x14ac:dyDescent="0.35">
      <c r="B34" s="399" t="s">
        <v>371</v>
      </c>
      <c r="C34" s="399"/>
      <c r="D34" s="399"/>
      <c r="E34" s="399"/>
      <c r="F34" s="399"/>
      <c r="G34" s="159"/>
      <c r="H34" s="405"/>
      <c r="I34" s="405"/>
      <c r="J34" s="405"/>
      <c r="K34" s="49"/>
    </row>
    <row r="35" spans="2:11" ht="22" customHeight="1" x14ac:dyDescent="0.35">
      <c r="B35" s="399" t="s">
        <v>372</v>
      </c>
      <c r="C35" s="399"/>
      <c r="D35" s="399"/>
      <c r="E35" s="399"/>
      <c r="F35" s="399"/>
      <c r="G35" s="159"/>
      <c r="H35" s="405"/>
      <c r="I35" s="405"/>
      <c r="J35" s="405"/>
      <c r="K35" s="49"/>
    </row>
    <row r="36" spans="2:11" ht="22" customHeight="1" x14ac:dyDescent="0.35">
      <c r="B36" s="399" t="s">
        <v>373</v>
      </c>
      <c r="C36" s="399"/>
      <c r="D36" s="399"/>
      <c r="E36" s="399"/>
      <c r="F36" s="399"/>
      <c r="G36" s="159"/>
      <c r="H36" s="405"/>
      <c r="I36" s="405"/>
      <c r="J36" s="405"/>
      <c r="K36" s="49"/>
    </row>
    <row r="37" spans="2:11" ht="22" customHeight="1" x14ac:dyDescent="0.35">
      <c r="B37" s="399" t="s">
        <v>374</v>
      </c>
      <c r="C37" s="399"/>
      <c r="D37" s="399"/>
      <c r="E37" s="399"/>
      <c r="F37" s="399"/>
      <c r="G37" s="159"/>
      <c r="H37" s="405"/>
      <c r="I37" s="405"/>
      <c r="J37" s="405"/>
      <c r="K37" s="49"/>
    </row>
    <row r="38" spans="2:11" ht="22" customHeight="1" x14ac:dyDescent="0.35">
      <c r="B38" s="399" t="s">
        <v>375</v>
      </c>
      <c r="C38" s="399"/>
      <c r="D38" s="399"/>
      <c r="E38" s="399"/>
      <c r="F38" s="399"/>
      <c r="G38" s="159"/>
      <c r="H38" s="405"/>
      <c r="I38" s="405"/>
      <c r="J38" s="405"/>
      <c r="K38" s="49"/>
    </row>
    <row r="39" spans="2:11" ht="22" customHeight="1" x14ac:dyDescent="0.35">
      <c r="B39" s="399" t="s">
        <v>376</v>
      </c>
      <c r="C39" s="399"/>
      <c r="D39" s="399"/>
      <c r="E39" s="399"/>
      <c r="F39" s="399"/>
      <c r="G39" s="159"/>
      <c r="H39" s="405"/>
      <c r="I39" s="405"/>
      <c r="J39" s="405"/>
      <c r="K39" s="49"/>
    </row>
    <row r="40" spans="2:11" ht="22" customHeight="1" x14ac:dyDescent="0.35">
      <c r="B40" s="403" t="s">
        <v>377</v>
      </c>
      <c r="C40" s="403"/>
      <c r="D40" s="403"/>
      <c r="E40" s="403"/>
      <c r="F40" s="403"/>
      <c r="G40" s="160"/>
      <c r="H40" s="401"/>
      <c r="I40" s="401"/>
      <c r="J40" s="401"/>
      <c r="K40" s="49"/>
    </row>
    <row r="41" spans="2:11" ht="11.15" customHeight="1" x14ac:dyDescent="0.35">
      <c r="B41" s="62"/>
      <c r="C41" s="62"/>
      <c r="D41" s="62"/>
      <c r="E41" s="62"/>
      <c r="F41" s="63"/>
      <c r="G41" s="63"/>
      <c r="H41" s="63"/>
      <c r="I41" s="49"/>
      <c r="J41" s="49"/>
      <c r="K41" s="49"/>
    </row>
    <row r="42" spans="2:11" ht="6" customHeight="1" x14ac:dyDescent="0.35">
      <c r="B42" s="152"/>
      <c r="C42" s="152"/>
      <c r="D42" s="152"/>
      <c r="E42" s="152"/>
      <c r="F42" s="61"/>
      <c r="G42" s="152"/>
      <c r="H42" s="152"/>
      <c r="I42" s="152"/>
      <c r="J42" s="152"/>
      <c r="K42" s="152"/>
    </row>
    <row r="43" spans="2:11" x14ac:dyDescent="0.35">
      <c r="B43" s="151"/>
      <c r="C43" s="151"/>
      <c r="D43" s="151"/>
      <c r="E43" s="151"/>
      <c r="F43" s="55"/>
      <c r="G43" s="151"/>
      <c r="H43" s="151"/>
      <c r="I43" s="151"/>
      <c r="J43" s="151"/>
      <c r="K43" s="151"/>
    </row>
    <row r="44" spans="2:11" x14ac:dyDescent="0.35"/>
  </sheetData>
  <sheetProtection algorithmName="SHA-512" hashValue="OvMUmEYkgYdfV7H6DQB51n7NkyM0nWjD9NQEpVYXOQiivSoot4y3KWBRkI9MNEMDxL450wGGTJ5CadqEhzt8Tg==" saltValue="2/csu2UtBsFkpiydY+ZxTg==" spinCount="100000" sheet="1" objects="1" scenarios="1"/>
  <protectedRanges>
    <protectedRange sqref="F8:J8" name="Range3"/>
    <protectedRange sqref="G26:J40" name="Range2"/>
    <protectedRange sqref="F10 F12 F14 F17 F21" name="Range1"/>
  </protectedRanges>
  <mergeCells count="40">
    <mergeCell ref="F8:J8"/>
    <mergeCell ref="B40:F40"/>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B36:F36"/>
    <mergeCell ref="B37:F37"/>
    <mergeCell ref="B38:F38"/>
    <mergeCell ref="B39:F39"/>
    <mergeCell ref="B34:F34"/>
    <mergeCell ref="B35:F35"/>
    <mergeCell ref="B26:F26"/>
    <mergeCell ref="B27:F27"/>
    <mergeCell ref="B28:F28"/>
    <mergeCell ref="B29:F29"/>
    <mergeCell ref="B30:F30"/>
    <mergeCell ref="B31:F31"/>
    <mergeCell ref="B32:F32"/>
    <mergeCell ref="B33:F33"/>
    <mergeCell ref="H24:J25"/>
    <mergeCell ref="F14:J15"/>
    <mergeCell ref="B14:C15"/>
    <mergeCell ref="B21:E22"/>
    <mergeCell ref="H21:H22"/>
    <mergeCell ref="F21:G22"/>
    <mergeCell ref="B19:K19"/>
    <mergeCell ref="G24:G25"/>
    <mergeCell ref="B24:F25"/>
  </mergeCells>
  <conditionalFormatting sqref="B19:K41">
    <cfRule type="expression" dxfId="37" priority="1">
      <formula>$F$17="NO"</formula>
    </cfRule>
  </conditionalFormatting>
  <conditionalFormatting sqref="F41:G41">
    <cfRule type="expression" dxfId="36" priority="10">
      <formula>$F$17="NO"</formula>
    </cfRule>
  </conditionalFormatting>
  <conditionalFormatting sqref="G26:G40">
    <cfRule type="containsText" dxfId="35" priority="5" operator="containsText" text="Partially">
      <formula>NOT(ISERROR(SEARCH("Partially",G26)))</formula>
    </cfRule>
    <cfRule type="containsText" dxfId="34" priority="6" operator="containsText" text="Yes">
      <formula>NOT(ISERROR(SEARCH("Yes",G26)))</formula>
    </cfRule>
  </conditionalFormatting>
  <conditionalFormatting sqref="H26:J40">
    <cfRule type="expression" dxfId="33" priority="3">
      <formula>$G26="Partially"</formula>
    </cfRule>
    <cfRule type="expression" dxfId="32" priority="8">
      <formula>$G26="Yes"</formula>
    </cfRule>
  </conditionalFormatting>
  <dataValidations count="5">
    <dataValidation type="list" allowBlank="1" showInputMessage="1" showErrorMessage="1" sqref="F10" xr:uid="{DCE5C7EF-20E7-46AA-91ED-5625355B0C61}">
      <formula1>$O$1:$O$4</formula1>
    </dataValidation>
    <dataValidation type="list" allowBlank="1" showInputMessage="1" showErrorMessage="1" sqref="F17" xr:uid="{2756A4AA-1AD6-4028-8EA3-9C12DFE900AA}">
      <formula1>$Q$1:$Q$2</formula1>
    </dataValidation>
    <dataValidation type="list" allowBlank="1" showInputMessage="1" showErrorMessage="1" sqref="G26:G40" xr:uid="{FB128644-C3CE-4609-992E-CE295CC0B2C3}">
      <formula1>"Yes,No,Partially,Not applicable"</formula1>
    </dataValidation>
    <dataValidation type="list" allowBlank="1" showInputMessage="1" showErrorMessage="1" sqref="F12" xr:uid="{CD785D0F-E6A4-4376-B0E6-9F64A2C4A27B}">
      <formula1>$P$1:$P$3</formula1>
    </dataValidation>
    <dataValidation type="list" allowBlank="1" showInputMessage="1" showErrorMessage="1" sqref="F14:J15" xr:uid="{FD109CDC-E0E9-44DE-8290-B1A076590B35}">
      <formula1>$R$1:$R$22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8E20-74CA-4628-86D3-FC7EE9FFE696}">
  <sheetPr codeName="Sheet1"/>
  <dimension ref="A1:AH209"/>
  <sheetViews>
    <sheetView showGridLines="0" showRowColHeaders="0" topLeftCell="A19" zoomScaleNormal="100" workbookViewId="0">
      <selection activeCell="B36" sqref="B36:M36"/>
    </sheetView>
  </sheetViews>
  <sheetFormatPr defaultColWidth="0" defaultRowHeight="20.149999999999999" customHeight="1" zeroHeight="1" x14ac:dyDescent="0.35"/>
  <cols>
    <col min="1" max="1" width="3.36328125" customWidth="1"/>
    <col min="2" max="2" width="27.1796875" customWidth="1"/>
    <col min="3" max="3" width="14.1796875" bestFit="1" customWidth="1"/>
    <col min="4" max="4" width="10.1796875" hidden="1" customWidth="1"/>
    <col min="5" max="5" width="15.1796875" customWidth="1"/>
    <col min="6" max="6" width="10.26953125" customWidth="1"/>
    <col min="7" max="8" width="11.26953125" customWidth="1"/>
    <col min="9" max="10" width="20.54296875" style="7" customWidth="1"/>
    <col min="11" max="11" width="11.54296875" style="7" customWidth="1"/>
    <col min="12" max="13" width="20.54296875" style="7" customWidth="1"/>
    <col min="14" max="14" width="3.7265625" customWidth="1"/>
    <col min="15" max="15" width="5.54296875" style="33" hidden="1" customWidth="1"/>
    <col min="16" max="16" width="5.54296875" hidden="1" customWidth="1"/>
    <col min="17" max="34" width="0" hidden="1" customWidth="1"/>
    <col min="35" max="16384" width="5.54296875" hidden="1"/>
  </cols>
  <sheetData>
    <row r="1" spans="2:34" ht="14.5" x14ac:dyDescent="0.35">
      <c r="B1" s="53"/>
      <c r="Q1" s="45">
        <v>0</v>
      </c>
      <c r="U1" t="s">
        <v>1175</v>
      </c>
      <c r="X1" t="s">
        <v>36</v>
      </c>
      <c r="Z1" t="s">
        <v>4</v>
      </c>
      <c r="AB1" t="s">
        <v>37</v>
      </c>
      <c r="AC1" t="s">
        <v>36</v>
      </c>
      <c r="AE1" t="s">
        <v>36</v>
      </c>
      <c r="AH1" t="s">
        <v>42</v>
      </c>
    </row>
    <row r="2" spans="2:34" ht="14.5" x14ac:dyDescent="0.35">
      <c r="B2" s="11"/>
      <c r="C2" s="11"/>
      <c r="D2" s="11"/>
      <c r="E2" s="11"/>
      <c r="F2" s="11"/>
      <c r="G2" s="11"/>
      <c r="H2" s="11"/>
      <c r="I2" s="78"/>
      <c r="J2" s="78"/>
      <c r="K2" s="78"/>
      <c r="L2" s="78"/>
      <c r="M2" s="78"/>
      <c r="Q2" s="45">
        <v>0.2</v>
      </c>
      <c r="U2" t="s">
        <v>38</v>
      </c>
      <c r="X2" t="s">
        <v>39</v>
      </c>
      <c r="Z2" t="s">
        <v>7</v>
      </c>
      <c r="AB2" t="s">
        <v>40</v>
      </c>
      <c r="AC2" t="s">
        <v>42</v>
      </c>
      <c r="AE2" t="s">
        <v>42</v>
      </c>
      <c r="AH2" t="s">
        <v>43</v>
      </c>
    </row>
    <row r="3" spans="2:34" ht="6" customHeight="1" x14ac:dyDescent="0.35">
      <c r="B3" s="12"/>
      <c r="C3" s="12"/>
      <c r="D3" s="12"/>
      <c r="E3" s="12"/>
      <c r="F3" s="12"/>
      <c r="G3" s="12"/>
      <c r="H3" s="12"/>
      <c r="I3" s="79"/>
      <c r="J3" s="79"/>
      <c r="K3" s="79"/>
      <c r="L3" s="79"/>
      <c r="M3" s="79"/>
      <c r="Q3" s="45">
        <v>0.4</v>
      </c>
      <c r="U3" t="s">
        <v>41</v>
      </c>
      <c r="X3" t="s">
        <v>42</v>
      </c>
      <c r="AE3" t="s">
        <v>43</v>
      </c>
      <c r="AH3" t="s">
        <v>39</v>
      </c>
    </row>
    <row r="4" spans="2:34" ht="10" customHeight="1" x14ac:dyDescent="0.35">
      <c r="Q4" s="45">
        <v>0.6</v>
      </c>
      <c r="X4" t="s">
        <v>43</v>
      </c>
      <c r="AE4" t="s">
        <v>46</v>
      </c>
    </row>
    <row r="5" spans="2:34" ht="18.5" x14ac:dyDescent="0.45">
      <c r="B5" s="1" t="s">
        <v>44</v>
      </c>
      <c r="K5" s="50"/>
      <c r="L5" s="13" t="s">
        <v>45</v>
      </c>
      <c r="M5" s="30">
        <f>Information!F10</f>
        <v>0</v>
      </c>
      <c r="Q5" s="45">
        <v>0.8</v>
      </c>
    </row>
    <row r="6" spans="2:34" ht="14.15" customHeight="1" x14ac:dyDescent="0.45">
      <c r="B6" s="1"/>
      <c r="K6" s="444" t="s">
        <v>47</v>
      </c>
      <c r="L6" s="444"/>
      <c r="M6" s="30">
        <f>Information!F12</f>
        <v>0</v>
      </c>
      <c r="Q6" s="45">
        <v>1</v>
      </c>
    </row>
    <row r="7" spans="2:34" ht="15.5" x14ac:dyDescent="0.35">
      <c r="B7" s="26" t="s">
        <v>48</v>
      </c>
    </row>
    <row r="8" spans="2:34" ht="29.15" customHeight="1" x14ac:dyDescent="0.35">
      <c r="B8" s="449" t="s">
        <v>49</v>
      </c>
      <c r="C8" s="449"/>
      <c r="D8" s="449"/>
      <c r="E8" s="449"/>
      <c r="F8" s="449"/>
      <c r="G8" s="449"/>
      <c r="H8" s="449"/>
      <c r="I8" s="449"/>
      <c r="J8" s="449"/>
      <c r="K8" s="449"/>
      <c r="L8" s="449"/>
      <c r="M8" s="449"/>
    </row>
    <row r="9" spans="2:34" ht="10" customHeight="1" x14ac:dyDescent="0.35"/>
    <row r="10" spans="2:34" ht="4" customHeight="1" x14ac:dyDescent="0.35">
      <c r="B10" s="11"/>
      <c r="C10" s="11"/>
      <c r="D10" s="11"/>
      <c r="E10" s="11"/>
      <c r="F10" s="11"/>
      <c r="G10" s="11"/>
      <c r="H10" s="11"/>
      <c r="I10" s="78"/>
      <c r="J10" s="78"/>
      <c r="K10" s="78"/>
      <c r="L10" s="78"/>
      <c r="M10" s="78"/>
    </row>
    <row r="11" spans="2:34" ht="14.5" x14ac:dyDescent="0.35"/>
    <row r="12" spans="2:34" ht="18.5" x14ac:dyDescent="0.45">
      <c r="B12" s="1" t="s">
        <v>50</v>
      </c>
    </row>
    <row r="13" spans="2:34" ht="14.5" x14ac:dyDescent="0.35">
      <c r="B13" s="447" t="s">
        <v>51</v>
      </c>
      <c r="C13" s="447"/>
      <c r="D13" s="447"/>
      <c r="E13" s="447"/>
      <c r="F13" s="447"/>
      <c r="G13" s="447"/>
      <c r="H13" s="447"/>
      <c r="I13" s="447"/>
      <c r="J13" s="447"/>
      <c r="K13" s="447"/>
      <c r="L13" s="447"/>
      <c r="M13" s="447"/>
    </row>
    <row r="14" spans="2:34" ht="43" customHeight="1" x14ac:dyDescent="0.35">
      <c r="B14" s="409" t="s">
        <v>576</v>
      </c>
      <c r="C14" s="409"/>
      <c r="D14" s="409"/>
      <c r="E14" s="409"/>
      <c r="F14" s="409"/>
      <c r="G14" s="409"/>
      <c r="H14" s="409"/>
      <c r="I14" s="409"/>
      <c r="J14" s="409"/>
      <c r="K14" s="409"/>
      <c r="L14" s="409"/>
      <c r="M14" s="409"/>
    </row>
    <row r="15" spans="2:34" ht="14.5" x14ac:dyDescent="0.35">
      <c r="B15" s="39"/>
      <c r="C15" s="39"/>
      <c r="D15" s="39"/>
      <c r="E15" s="39"/>
      <c r="F15" s="39"/>
      <c r="G15" s="39"/>
      <c r="H15" s="39"/>
      <c r="I15" s="143"/>
      <c r="J15" s="143"/>
      <c r="K15" s="143"/>
      <c r="L15" s="143"/>
      <c r="M15" s="143"/>
    </row>
    <row r="16" spans="2:34" ht="15" customHeight="1" x14ac:dyDescent="0.35">
      <c r="B16" s="44"/>
      <c r="C16" s="44"/>
      <c r="D16" s="44"/>
      <c r="E16" s="44"/>
      <c r="F16" s="44"/>
      <c r="G16" s="406" t="s">
        <v>1392</v>
      </c>
      <c r="H16" s="406"/>
      <c r="I16" s="451" t="s">
        <v>53</v>
      </c>
      <c r="J16" s="451"/>
      <c r="K16" s="145"/>
      <c r="L16" s="137"/>
      <c r="M16" s="137"/>
    </row>
    <row r="17" spans="2:15" ht="14.5" x14ac:dyDescent="0.35">
      <c r="B17" s="46" t="s">
        <v>54</v>
      </c>
      <c r="C17" s="46" t="s">
        <v>55</v>
      </c>
      <c r="D17" s="46"/>
      <c r="E17" s="46" t="s">
        <v>56</v>
      </c>
      <c r="F17" s="46" t="s">
        <v>57</v>
      </c>
      <c r="G17" s="406"/>
      <c r="H17" s="406"/>
      <c r="I17" s="223" t="s">
        <v>58</v>
      </c>
      <c r="J17" s="224" t="s">
        <v>57</v>
      </c>
    </row>
    <row r="18" spans="2:15" ht="16.5" x14ac:dyDescent="0.35">
      <c r="B18" s="218" t="s">
        <v>385</v>
      </c>
      <c r="C18" s="235" t="s">
        <v>7</v>
      </c>
      <c r="D18" s="236"/>
      <c r="E18" s="237"/>
      <c r="F18" s="238" t="s">
        <v>43</v>
      </c>
      <c r="G18" s="406"/>
      <c r="H18" s="406"/>
      <c r="I18" s="234"/>
      <c r="J18" s="225" t="s">
        <v>1167</v>
      </c>
    </row>
    <row r="19" spans="2:15" ht="16.5" x14ac:dyDescent="0.35">
      <c r="B19" s="219" t="s">
        <v>384</v>
      </c>
      <c r="C19" s="239" t="s">
        <v>7</v>
      </c>
      <c r="D19" s="240"/>
      <c r="E19" s="241"/>
      <c r="F19" s="242" t="s">
        <v>43</v>
      </c>
      <c r="G19" s="406"/>
      <c r="H19" s="406"/>
      <c r="I19" s="234"/>
      <c r="J19" s="225" t="s">
        <v>1167</v>
      </c>
    </row>
    <row r="20" spans="2:15" ht="16.5" x14ac:dyDescent="0.35">
      <c r="B20" s="219" t="s">
        <v>390</v>
      </c>
      <c r="C20" s="239" t="s">
        <v>7</v>
      </c>
      <c r="D20" s="240"/>
      <c r="E20" s="241"/>
      <c r="F20" s="242" t="s">
        <v>43</v>
      </c>
      <c r="G20" s="406"/>
      <c r="H20" s="406"/>
      <c r="I20" s="214"/>
      <c r="J20" s="226" t="s">
        <v>1167</v>
      </c>
      <c r="O20" s="81"/>
    </row>
    <row r="21" spans="2:15" ht="16.5" x14ac:dyDescent="0.35">
      <c r="B21" s="219" t="s">
        <v>61</v>
      </c>
      <c r="C21" s="239" t="s">
        <v>7</v>
      </c>
      <c r="D21" s="240"/>
      <c r="E21" s="241"/>
      <c r="F21" s="242" t="s">
        <v>43</v>
      </c>
      <c r="G21" s="406"/>
      <c r="H21" s="406"/>
      <c r="I21" s="234"/>
      <c r="J21" s="225" t="s">
        <v>1167</v>
      </c>
    </row>
    <row r="22" spans="2:15" ht="16.5" x14ac:dyDescent="0.35">
      <c r="B22" s="219" t="s">
        <v>62</v>
      </c>
      <c r="C22" s="239" t="s">
        <v>7</v>
      </c>
      <c r="D22" s="240"/>
      <c r="E22" s="241"/>
      <c r="F22" s="242"/>
      <c r="G22" s="406"/>
      <c r="H22" s="406"/>
      <c r="I22" s="234"/>
      <c r="J22" s="225" t="s">
        <v>1167</v>
      </c>
    </row>
    <row r="23" spans="2:15" ht="16.5" x14ac:dyDescent="0.35">
      <c r="B23" s="220" t="s">
        <v>63</v>
      </c>
      <c r="C23" s="243" t="s">
        <v>7</v>
      </c>
      <c r="D23" s="244"/>
      <c r="E23" s="245"/>
      <c r="F23" s="246" t="s">
        <v>43</v>
      </c>
      <c r="G23" s="406"/>
      <c r="H23" s="406"/>
      <c r="I23" s="216"/>
      <c r="J23" s="227" t="s">
        <v>1167</v>
      </c>
    </row>
    <row r="24" spans="2:15" ht="32.15" customHeight="1" x14ac:dyDescent="0.35">
      <c r="B24" s="54" t="s">
        <v>357</v>
      </c>
      <c r="C24" s="44"/>
      <c r="D24" s="47"/>
      <c r="G24" s="406"/>
      <c r="H24" s="406"/>
      <c r="J24" s="138"/>
    </row>
    <row r="25" spans="2:15" ht="16.5" customHeight="1" x14ac:dyDescent="0.35">
      <c r="B25" s="221" t="s">
        <v>358</v>
      </c>
      <c r="C25" s="247" t="s">
        <v>7</v>
      </c>
      <c r="D25" s="248"/>
      <c r="E25" s="249"/>
      <c r="F25" s="250" t="s">
        <v>43</v>
      </c>
      <c r="G25" s="406"/>
      <c r="H25" s="406"/>
      <c r="I25" s="231"/>
      <c r="J25" s="228" t="s">
        <v>1167</v>
      </c>
      <c r="K25" s="445" t="s">
        <v>362</v>
      </c>
      <c r="L25" s="445"/>
      <c r="M25" s="445"/>
    </row>
    <row r="26" spans="2:15" ht="16.5" x14ac:dyDescent="0.35">
      <c r="B26" s="222" t="s">
        <v>359</v>
      </c>
      <c r="C26" s="251" t="s">
        <v>7</v>
      </c>
      <c r="D26" s="252"/>
      <c r="E26" s="253"/>
      <c r="F26" s="254" t="s">
        <v>43</v>
      </c>
      <c r="G26" s="406"/>
      <c r="H26" s="406"/>
      <c r="I26" s="232"/>
      <c r="J26" s="229" t="s">
        <v>1167</v>
      </c>
      <c r="K26" s="445"/>
      <c r="L26" s="445"/>
      <c r="M26" s="445"/>
    </row>
    <row r="27" spans="2:15" ht="16.5" x14ac:dyDescent="0.35">
      <c r="B27" s="222" t="s">
        <v>360</v>
      </c>
      <c r="C27" s="251" t="s">
        <v>7</v>
      </c>
      <c r="D27" s="252"/>
      <c r="E27" s="253"/>
      <c r="F27" s="254" t="s">
        <v>39</v>
      </c>
      <c r="G27" s="406"/>
      <c r="H27" s="406"/>
      <c r="I27" s="232"/>
      <c r="J27" s="229" t="s">
        <v>1167</v>
      </c>
      <c r="K27" s="445"/>
      <c r="L27" s="445"/>
      <c r="M27" s="445"/>
    </row>
    <row r="28" spans="2:15" ht="16.5" x14ac:dyDescent="0.35">
      <c r="B28" s="222" t="s">
        <v>361</v>
      </c>
      <c r="C28" s="251" t="s">
        <v>7</v>
      </c>
      <c r="D28" s="252"/>
      <c r="E28" s="253"/>
      <c r="F28" s="254" t="s">
        <v>39</v>
      </c>
      <c r="G28" s="406"/>
      <c r="H28" s="406"/>
      <c r="I28" s="233"/>
      <c r="J28" s="230" t="s">
        <v>1167</v>
      </c>
      <c r="K28" s="445"/>
      <c r="L28" s="445"/>
      <c r="M28" s="445"/>
    </row>
    <row r="29" spans="2:15" ht="9" customHeight="1" x14ac:dyDescent="0.35">
      <c r="B29" s="75"/>
      <c r="C29" s="44"/>
      <c r="D29" s="47"/>
      <c r="E29" s="76"/>
      <c r="G29" s="74"/>
      <c r="H29" s="74"/>
      <c r="I29" s="77"/>
      <c r="J29" s="77"/>
      <c r="K29" s="77"/>
      <c r="L29" s="73"/>
      <c r="M29" s="73"/>
    </row>
    <row r="30" spans="2:15" ht="14.5" x14ac:dyDescent="0.35">
      <c r="B30" s="432" t="s">
        <v>574</v>
      </c>
      <c r="C30" s="432"/>
      <c r="D30" s="432"/>
      <c r="E30" s="432"/>
      <c r="F30" s="432"/>
      <c r="G30" s="432"/>
      <c r="H30" s="432"/>
      <c r="I30" s="432"/>
      <c r="J30" s="432"/>
      <c r="K30" s="432"/>
      <c r="L30" s="432"/>
      <c r="M30" s="432"/>
    </row>
    <row r="31" spans="2:15" ht="14.5" x14ac:dyDescent="0.35">
      <c r="B31" s="432" t="s">
        <v>575</v>
      </c>
      <c r="C31" s="432"/>
      <c r="D31" s="432"/>
      <c r="E31" s="432"/>
      <c r="F31" s="432"/>
      <c r="G31" s="432"/>
      <c r="H31" s="432"/>
      <c r="I31" s="432"/>
      <c r="J31" s="432"/>
      <c r="K31" s="432"/>
      <c r="L31" s="432"/>
      <c r="M31" s="432"/>
    </row>
    <row r="32" spans="2:15" ht="4" customHeight="1" x14ac:dyDescent="0.35">
      <c r="B32" s="27"/>
      <c r="C32" s="27"/>
      <c r="D32" s="11"/>
      <c r="E32" s="28"/>
      <c r="F32" s="11"/>
      <c r="G32" s="11"/>
      <c r="H32" s="11"/>
      <c r="I32" s="78"/>
      <c r="J32" s="78"/>
      <c r="K32" s="78"/>
      <c r="L32" s="78"/>
      <c r="M32" s="78"/>
    </row>
    <row r="33" spans="2:14" ht="14.5" x14ac:dyDescent="0.35"/>
    <row r="34" spans="2:14" ht="18.5" x14ac:dyDescent="0.45">
      <c r="B34" s="1" t="s">
        <v>65</v>
      </c>
    </row>
    <row r="35" spans="2:14" ht="35.25" customHeight="1" x14ac:dyDescent="0.35">
      <c r="B35" s="449" t="s">
        <v>66</v>
      </c>
      <c r="C35" s="450"/>
      <c r="D35" s="450"/>
      <c r="E35" s="450"/>
      <c r="F35" s="450"/>
      <c r="G35" s="450"/>
      <c r="H35" s="450"/>
      <c r="I35" s="450"/>
      <c r="J35" s="450"/>
      <c r="K35" s="450"/>
      <c r="L35" s="450"/>
      <c r="M35" s="450"/>
    </row>
    <row r="36" spans="2:14" ht="27.65" customHeight="1" x14ac:dyDescent="0.35">
      <c r="B36" s="409" t="s">
        <v>1431</v>
      </c>
      <c r="C36" s="409"/>
      <c r="D36" s="409"/>
      <c r="E36" s="409"/>
      <c r="F36" s="409"/>
      <c r="G36" s="409"/>
      <c r="H36" s="409"/>
      <c r="I36" s="409"/>
      <c r="J36" s="409"/>
      <c r="K36" s="409"/>
      <c r="L36" s="409"/>
      <c r="M36" s="409"/>
    </row>
    <row r="37" spans="2:14" ht="16" customHeight="1" x14ac:dyDescent="0.35">
      <c r="B37" s="38"/>
      <c r="C37" s="38"/>
      <c r="D37" s="38"/>
      <c r="E37" s="38"/>
      <c r="F37" s="38"/>
      <c r="G37" s="38"/>
      <c r="H37" s="38"/>
      <c r="I37" s="143"/>
      <c r="J37" s="143"/>
      <c r="K37" s="143"/>
      <c r="L37" s="143"/>
      <c r="M37" s="143"/>
    </row>
    <row r="38" spans="2:14" ht="16" customHeight="1" x14ac:dyDescent="0.35">
      <c r="B38" s="423" t="s">
        <v>54</v>
      </c>
      <c r="C38" s="425" t="s">
        <v>55</v>
      </c>
      <c r="E38" s="426" t="s">
        <v>56</v>
      </c>
      <c r="F38" s="425" t="s">
        <v>57</v>
      </c>
      <c r="G38" s="6"/>
      <c r="H38" s="6"/>
      <c r="I38" s="436" t="s">
        <v>67</v>
      </c>
      <c r="J38" s="436"/>
      <c r="K38" s="69"/>
      <c r="L38" s="433" t="s">
        <v>68</v>
      </c>
      <c r="M38" s="433"/>
      <c r="N38" s="6"/>
    </row>
    <row r="39" spans="2:14" ht="14.5" customHeight="1" x14ac:dyDescent="0.35">
      <c r="B39" s="424"/>
      <c r="C39" s="425"/>
      <c r="D39" s="48"/>
      <c r="E39" s="427"/>
      <c r="F39" s="428"/>
      <c r="G39" s="407" t="s">
        <v>69</v>
      </c>
      <c r="H39" s="407"/>
      <c r="I39" s="193" t="s">
        <v>70</v>
      </c>
      <c r="J39" s="193" t="s">
        <v>71</v>
      </c>
      <c r="K39" s="193" t="s">
        <v>57</v>
      </c>
      <c r="L39" s="194" t="s">
        <v>321</v>
      </c>
      <c r="M39" s="195" t="s">
        <v>57</v>
      </c>
    </row>
    <row r="40" spans="2:14" ht="14.5" x14ac:dyDescent="0.35">
      <c r="B40" s="418" t="s">
        <v>72</v>
      </c>
      <c r="C40" s="420" t="s">
        <v>7</v>
      </c>
      <c r="D40" s="190"/>
      <c r="E40" s="212"/>
      <c r="F40" s="213"/>
      <c r="G40" s="407"/>
      <c r="H40" s="407"/>
      <c r="I40" s="387"/>
      <c r="J40" s="196"/>
      <c r="K40" s="197" t="s">
        <v>287</v>
      </c>
      <c r="L40" s="198"/>
      <c r="M40" s="199" t="s">
        <v>37</v>
      </c>
    </row>
    <row r="41" spans="2:14" ht="14.5" x14ac:dyDescent="0.35">
      <c r="B41" s="412"/>
      <c r="C41" s="421"/>
      <c r="D41" s="191"/>
      <c r="E41" s="214"/>
      <c r="F41" s="215"/>
      <c r="G41" s="407"/>
      <c r="H41" s="407"/>
      <c r="I41" s="200"/>
      <c r="J41" s="201"/>
      <c r="K41" s="202" t="s">
        <v>287</v>
      </c>
      <c r="L41" s="203"/>
      <c r="M41" s="204" t="s">
        <v>37</v>
      </c>
    </row>
    <row r="42" spans="2:14" ht="14.5" x14ac:dyDescent="0.35">
      <c r="B42" s="419"/>
      <c r="C42" s="422"/>
      <c r="D42" s="192"/>
      <c r="E42" s="214"/>
      <c r="F42" s="215"/>
      <c r="G42" s="407"/>
      <c r="H42" s="407"/>
      <c r="I42" s="200"/>
      <c r="J42" s="201"/>
      <c r="K42" s="202" t="s">
        <v>287</v>
      </c>
      <c r="L42" s="203"/>
      <c r="M42" s="204" t="s">
        <v>37</v>
      </c>
    </row>
    <row r="43" spans="2:14" ht="14.5" x14ac:dyDescent="0.35">
      <c r="B43" s="418" t="s">
        <v>73</v>
      </c>
      <c r="C43" s="438" t="s">
        <v>7</v>
      </c>
      <c r="D43" s="190"/>
      <c r="E43" s="214"/>
      <c r="F43" s="215"/>
      <c r="G43" s="407"/>
      <c r="H43" s="407"/>
      <c r="I43" s="200"/>
      <c r="J43" s="201"/>
      <c r="K43" s="202" t="s">
        <v>287</v>
      </c>
      <c r="L43" s="203"/>
      <c r="M43" s="205" t="s">
        <v>37</v>
      </c>
    </row>
    <row r="44" spans="2:14" ht="14.5" x14ac:dyDescent="0.35">
      <c r="B44" s="412"/>
      <c r="C44" s="439"/>
      <c r="D44" s="191"/>
      <c r="E44" s="214"/>
      <c r="F44" s="215"/>
      <c r="G44" s="407"/>
      <c r="H44" s="407"/>
      <c r="I44" s="200"/>
      <c r="J44" s="201"/>
      <c r="K44" s="202" t="s">
        <v>287</v>
      </c>
      <c r="L44" s="203"/>
      <c r="M44" s="204" t="s">
        <v>37</v>
      </c>
    </row>
    <row r="45" spans="2:14" ht="14.5" x14ac:dyDescent="0.35">
      <c r="B45" s="437"/>
      <c r="C45" s="440"/>
      <c r="D45" s="192"/>
      <c r="E45" s="214"/>
      <c r="F45" s="215"/>
      <c r="G45" s="407"/>
      <c r="H45" s="407"/>
      <c r="I45" s="200"/>
      <c r="J45" s="201"/>
      <c r="K45" s="202" t="s">
        <v>287</v>
      </c>
      <c r="L45" s="203"/>
      <c r="M45" s="204" t="s">
        <v>37</v>
      </c>
    </row>
    <row r="46" spans="2:14" ht="14.5" x14ac:dyDescent="0.35">
      <c r="B46" s="414" t="s">
        <v>74</v>
      </c>
      <c r="C46" s="420" t="s">
        <v>7</v>
      </c>
      <c r="D46" s="190"/>
      <c r="E46" s="214"/>
      <c r="F46" s="215"/>
      <c r="G46" s="407"/>
      <c r="H46" s="407"/>
      <c r="I46" s="429" t="s">
        <v>64</v>
      </c>
      <c r="J46" s="429"/>
      <c r="K46" s="430"/>
      <c r="L46" s="203"/>
      <c r="M46" s="205" t="s">
        <v>37</v>
      </c>
    </row>
    <row r="47" spans="2:14" ht="14.5" x14ac:dyDescent="0.35">
      <c r="B47" s="412"/>
      <c r="C47" s="421"/>
      <c r="D47" s="191"/>
      <c r="E47" s="214"/>
      <c r="F47" s="215"/>
      <c r="G47" s="407"/>
      <c r="H47" s="407"/>
      <c r="I47" s="429"/>
      <c r="J47" s="429"/>
      <c r="K47" s="430"/>
      <c r="L47" s="203"/>
      <c r="M47" s="204" t="s">
        <v>37</v>
      </c>
    </row>
    <row r="48" spans="2:14" ht="14.5" x14ac:dyDescent="0.35">
      <c r="B48" s="415"/>
      <c r="C48" s="422"/>
      <c r="D48" s="192"/>
      <c r="E48" s="214"/>
      <c r="F48" s="215"/>
      <c r="G48" s="407"/>
      <c r="H48" s="407"/>
      <c r="I48" s="429"/>
      <c r="J48" s="429"/>
      <c r="K48" s="430"/>
      <c r="L48" s="203"/>
      <c r="M48" s="204" t="s">
        <v>37</v>
      </c>
    </row>
    <row r="49" spans="2:13" ht="14.5" x14ac:dyDescent="0.35">
      <c r="B49" s="416" t="s">
        <v>62</v>
      </c>
      <c r="C49" s="420" t="s">
        <v>7</v>
      </c>
      <c r="D49" s="190"/>
      <c r="E49" s="214"/>
      <c r="F49" s="215"/>
      <c r="G49" s="407"/>
      <c r="H49" s="407"/>
      <c r="I49" s="200"/>
      <c r="J49" s="201"/>
      <c r="K49" s="206" t="s">
        <v>287</v>
      </c>
      <c r="L49" s="203"/>
      <c r="M49" s="205" t="s">
        <v>37</v>
      </c>
    </row>
    <row r="50" spans="2:13" ht="14.5" x14ac:dyDescent="0.35">
      <c r="B50" s="412"/>
      <c r="C50" s="421"/>
      <c r="D50" s="191"/>
      <c r="E50" s="214"/>
      <c r="F50" s="215"/>
      <c r="G50" s="407"/>
      <c r="H50" s="407"/>
      <c r="I50" s="200"/>
      <c r="J50" s="201"/>
      <c r="K50" s="202" t="s">
        <v>287</v>
      </c>
      <c r="L50" s="203"/>
      <c r="M50" s="204" t="s">
        <v>37</v>
      </c>
    </row>
    <row r="51" spans="2:13" ht="14.5" x14ac:dyDescent="0.35">
      <c r="B51" s="417"/>
      <c r="C51" s="422"/>
      <c r="D51" s="192"/>
      <c r="E51" s="214"/>
      <c r="F51" s="215"/>
      <c r="G51" s="407"/>
      <c r="H51" s="407"/>
      <c r="I51" s="200"/>
      <c r="J51" s="201"/>
      <c r="K51" s="202" t="s">
        <v>287</v>
      </c>
      <c r="L51" s="203"/>
      <c r="M51" s="204" t="s">
        <v>37</v>
      </c>
    </row>
    <row r="52" spans="2:13" ht="14.5" x14ac:dyDescent="0.35">
      <c r="B52" s="411" t="s">
        <v>75</v>
      </c>
      <c r="C52" s="420" t="s">
        <v>7</v>
      </c>
      <c r="D52" s="190"/>
      <c r="E52" s="214"/>
      <c r="F52" s="215"/>
      <c r="G52" s="407"/>
      <c r="H52" s="407"/>
      <c r="I52" s="200"/>
      <c r="J52" s="201"/>
      <c r="K52" s="202" t="s">
        <v>287</v>
      </c>
      <c r="L52" s="203"/>
      <c r="M52" s="205" t="s">
        <v>37</v>
      </c>
    </row>
    <row r="53" spans="2:13" ht="14.5" x14ac:dyDescent="0.35">
      <c r="B53" s="412"/>
      <c r="C53" s="421"/>
      <c r="D53" s="191"/>
      <c r="E53" s="214"/>
      <c r="F53" s="215"/>
      <c r="G53" s="407"/>
      <c r="H53" s="407"/>
      <c r="I53" s="200"/>
      <c r="J53" s="201"/>
      <c r="K53" s="202" t="s">
        <v>287</v>
      </c>
      <c r="L53" s="203"/>
      <c r="M53" s="204" t="s">
        <v>37</v>
      </c>
    </row>
    <row r="54" spans="2:13" ht="14.5" x14ac:dyDescent="0.35">
      <c r="B54" s="413"/>
      <c r="C54" s="422"/>
      <c r="D54" s="192"/>
      <c r="E54" s="214"/>
      <c r="F54" s="215"/>
      <c r="G54" s="407"/>
      <c r="H54" s="407"/>
      <c r="I54" s="200"/>
      <c r="J54" s="201"/>
      <c r="K54" s="202" t="s">
        <v>287</v>
      </c>
      <c r="L54" s="203"/>
      <c r="M54" s="204" t="s">
        <v>37</v>
      </c>
    </row>
    <row r="55" spans="2:13" ht="14.5" x14ac:dyDescent="0.35">
      <c r="B55" s="441" t="s">
        <v>76</v>
      </c>
      <c r="C55" s="420" t="s">
        <v>7</v>
      </c>
      <c r="D55" s="190"/>
      <c r="E55" s="214"/>
      <c r="F55" s="215"/>
      <c r="G55" s="407"/>
      <c r="H55" s="407"/>
      <c r="I55" s="200"/>
      <c r="J55" s="201"/>
      <c r="K55" s="202" t="s">
        <v>287</v>
      </c>
      <c r="L55" s="203"/>
      <c r="M55" s="205" t="s">
        <v>37</v>
      </c>
    </row>
    <row r="56" spans="2:13" ht="14.5" x14ac:dyDescent="0.35">
      <c r="B56" s="412"/>
      <c r="C56" s="421"/>
      <c r="D56" s="191"/>
      <c r="E56" s="214"/>
      <c r="F56" s="215"/>
      <c r="G56" s="407"/>
      <c r="H56" s="407"/>
      <c r="I56" s="200"/>
      <c r="J56" s="201"/>
      <c r="K56" s="202" t="s">
        <v>287</v>
      </c>
      <c r="L56" s="203"/>
      <c r="M56" s="204" t="s">
        <v>37</v>
      </c>
    </row>
    <row r="57" spans="2:13" ht="14.5" x14ac:dyDescent="0.35">
      <c r="B57" s="442"/>
      <c r="C57" s="422"/>
      <c r="D57" s="192"/>
      <c r="E57" s="216"/>
      <c r="F57" s="217"/>
      <c r="G57" s="407"/>
      <c r="H57" s="407"/>
      <c r="I57" s="207"/>
      <c r="J57" s="208"/>
      <c r="K57" s="209" t="s">
        <v>287</v>
      </c>
      <c r="L57" s="210"/>
      <c r="M57" s="211" t="s">
        <v>37</v>
      </c>
    </row>
    <row r="58" spans="2:13" ht="14.5" x14ac:dyDescent="0.35">
      <c r="B58" s="7"/>
      <c r="C58" s="44"/>
      <c r="E58" s="7"/>
      <c r="F58" s="146"/>
      <c r="G58" s="407"/>
      <c r="H58" s="407"/>
    </row>
    <row r="59" spans="2:13" ht="14.5" x14ac:dyDescent="0.35">
      <c r="B59" s="161" t="s">
        <v>77</v>
      </c>
      <c r="C59" s="162" t="s">
        <v>7</v>
      </c>
      <c r="D59" s="142"/>
      <c r="E59" s="189"/>
      <c r="F59" s="163" t="s">
        <v>86</v>
      </c>
      <c r="G59" s="407"/>
      <c r="H59" s="407"/>
      <c r="I59" s="446" t="s">
        <v>64</v>
      </c>
      <c r="J59" s="446"/>
      <c r="K59" s="446"/>
      <c r="L59" s="446"/>
      <c r="M59" s="446"/>
    </row>
    <row r="60" spans="2:13" ht="14.5" x14ac:dyDescent="0.35"/>
    <row r="61" spans="2:13" ht="4" customHeight="1" x14ac:dyDescent="0.35">
      <c r="B61" s="11"/>
      <c r="C61" s="11"/>
      <c r="D61" s="11"/>
      <c r="E61" s="11"/>
      <c r="F61" s="11"/>
      <c r="G61" s="11"/>
      <c r="H61" s="11"/>
      <c r="I61" s="78"/>
      <c r="J61" s="78"/>
      <c r="K61" s="78"/>
      <c r="L61" s="78"/>
      <c r="M61" s="78"/>
    </row>
    <row r="62" spans="2:13" ht="14.5" x14ac:dyDescent="0.35"/>
    <row r="63" spans="2:13" ht="18.5" x14ac:dyDescent="0.45">
      <c r="B63" s="1" t="s">
        <v>78</v>
      </c>
    </row>
    <row r="64" spans="2:13" ht="26.5" customHeight="1" x14ac:dyDescent="0.35">
      <c r="B64" s="447" t="s">
        <v>79</v>
      </c>
      <c r="C64" s="447"/>
      <c r="D64" s="447"/>
      <c r="E64" s="447"/>
      <c r="F64" s="447"/>
      <c r="G64" s="447"/>
      <c r="H64" s="447"/>
      <c r="I64" s="447"/>
      <c r="J64" s="447"/>
      <c r="K64" s="447"/>
      <c r="L64" s="447"/>
      <c r="M64" s="447"/>
    </row>
    <row r="65" spans="2:16" ht="29.5" customHeight="1" x14ac:dyDescent="0.35">
      <c r="B65" s="409" t="s">
        <v>80</v>
      </c>
      <c r="C65" s="409"/>
      <c r="D65" s="409"/>
      <c r="E65" s="409"/>
      <c r="F65" s="409"/>
      <c r="G65" s="409"/>
      <c r="H65" s="409"/>
      <c r="I65" s="409"/>
      <c r="J65" s="409"/>
      <c r="K65" s="409"/>
      <c r="L65" s="409"/>
      <c r="M65" s="409"/>
    </row>
    <row r="66" spans="2:16" ht="14.5" x14ac:dyDescent="0.35">
      <c r="P66" t="s">
        <v>81</v>
      </c>
    </row>
    <row r="67" spans="2:16" ht="14.5" x14ac:dyDescent="0.35">
      <c r="B67" s="15" t="s">
        <v>82</v>
      </c>
    </row>
    <row r="68" spans="2:16" ht="14.5" x14ac:dyDescent="0.35">
      <c r="B68" s="30" t="s">
        <v>83</v>
      </c>
      <c r="C68" s="30" t="s">
        <v>84</v>
      </c>
      <c r="D68" s="31"/>
      <c r="E68" s="30" t="s">
        <v>85</v>
      </c>
      <c r="F68" s="30" t="s">
        <v>57</v>
      </c>
    </row>
    <row r="69" spans="2:16" ht="14.5" x14ac:dyDescent="0.35">
      <c r="B69" s="174">
        <v>1</v>
      </c>
      <c r="C69" s="175"/>
      <c r="D69" s="176"/>
      <c r="E69" s="177"/>
      <c r="F69" s="178" t="s">
        <v>86</v>
      </c>
    </row>
    <row r="70" spans="2:16" ht="14.5" x14ac:dyDescent="0.35">
      <c r="B70" s="179">
        <v>2</v>
      </c>
      <c r="C70" s="180"/>
      <c r="D70" s="181"/>
      <c r="E70" s="182"/>
      <c r="F70" s="183" t="s">
        <v>86</v>
      </c>
    </row>
    <row r="71" spans="2:16" ht="14.5" x14ac:dyDescent="0.35">
      <c r="B71" s="179">
        <v>3</v>
      </c>
      <c r="C71" s="180"/>
      <c r="D71" s="181"/>
      <c r="E71" s="182"/>
      <c r="F71" s="183" t="s">
        <v>86</v>
      </c>
    </row>
    <row r="72" spans="2:16" ht="14.5" x14ac:dyDescent="0.35">
      <c r="B72" s="179">
        <v>4</v>
      </c>
      <c r="C72" s="180"/>
      <c r="D72" s="181"/>
      <c r="E72" s="182"/>
      <c r="F72" s="183" t="s">
        <v>86</v>
      </c>
    </row>
    <row r="73" spans="2:16" ht="14.5" x14ac:dyDescent="0.35">
      <c r="B73" s="179">
        <v>5</v>
      </c>
      <c r="C73" s="180"/>
      <c r="D73" s="181"/>
      <c r="E73" s="182"/>
      <c r="F73" s="183" t="s">
        <v>86</v>
      </c>
    </row>
    <row r="74" spans="2:16" ht="14.5" x14ac:dyDescent="0.35">
      <c r="B74" s="179">
        <v>6</v>
      </c>
      <c r="C74" s="180"/>
      <c r="D74" s="181"/>
      <c r="E74" s="182"/>
      <c r="F74" s="183" t="s">
        <v>86</v>
      </c>
    </row>
    <row r="75" spans="2:16" ht="14.5" x14ac:dyDescent="0.35">
      <c r="B75" s="179">
        <v>7</v>
      </c>
      <c r="C75" s="180"/>
      <c r="D75" s="181"/>
      <c r="E75" s="182"/>
      <c r="F75" s="183" t="s">
        <v>86</v>
      </c>
    </row>
    <row r="76" spans="2:16" ht="14.5" x14ac:dyDescent="0.35">
      <c r="B76" s="179">
        <v>8</v>
      </c>
      <c r="C76" s="180"/>
      <c r="D76" s="181"/>
      <c r="E76" s="182"/>
      <c r="F76" s="183" t="s">
        <v>86</v>
      </c>
    </row>
    <row r="77" spans="2:16" ht="14.5" x14ac:dyDescent="0.35">
      <c r="B77" s="179">
        <v>9</v>
      </c>
      <c r="C77" s="180"/>
      <c r="D77" s="181"/>
      <c r="E77" s="182"/>
      <c r="F77" s="183" t="s">
        <v>86</v>
      </c>
    </row>
    <row r="78" spans="2:16" ht="14.5" x14ac:dyDescent="0.35">
      <c r="B78" s="184">
        <v>10</v>
      </c>
      <c r="C78" s="185"/>
      <c r="D78" s="186"/>
      <c r="E78" s="187"/>
      <c r="F78" s="188" t="s">
        <v>86</v>
      </c>
    </row>
    <row r="79" spans="2:16" ht="21.65" customHeight="1" x14ac:dyDescent="0.35">
      <c r="B79" s="44"/>
      <c r="C79" s="44"/>
      <c r="D79" s="44"/>
      <c r="E79" s="44"/>
      <c r="F79" s="33"/>
    </row>
    <row r="80" spans="2:16" ht="22.5" customHeight="1" x14ac:dyDescent="0.35">
      <c r="B80" s="410" t="s">
        <v>573</v>
      </c>
      <c r="C80" s="410"/>
      <c r="D80" s="410"/>
      <c r="E80" s="410"/>
      <c r="F80" s="410"/>
      <c r="G80" s="410"/>
      <c r="H80" s="410"/>
      <c r="I80" s="410"/>
      <c r="J80" s="410"/>
      <c r="K80" s="410"/>
      <c r="L80" s="410"/>
      <c r="M80" s="410"/>
    </row>
    <row r="81" spans="2:13" ht="16.5" x14ac:dyDescent="0.45">
      <c r="B81" s="435" t="s">
        <v>87</v>
      </c>
      <c r="C81" s="435"/>
      <c r="D81" s="44"/>
      <c r="E81" s="44"/>
      <c r="F81" s="173"/>
      <c r="G81" t="s">
        <v>30</v>
      </c>
    </row>
    <row r="82" spans="2:13" ht="14.5" x14ac:dyDescent="0.35">
      <c r="B82" s="4"/>
    </row>
    <row r="83" spans="2:13" ht="4" customHeight="1" x14ac:dyDescent="0.35">
      <c r="B83" s="29"/>
      <c r="C83" s="11"/>
      <c r="D83" s="11"/>
      <c r="E83" s="11"/>
      <c r="F83" s="11"/>
      <c r="G83" s="11"/>
      <c r="H83" s="11"/>
      <c r="I83" s="78"/>
      <c r="J83" s="78"/>
      <c r="K83" s="78"/>
      <c r="L83" s="78"/>
      <c r="M83" s="78"/>
    </row>
    <row r="84" spans="2:13" ht="14.5" x14ac:dyDescent="0.35"/>
    <row r="85" spans="2:13" ht="14.5" x14ac:dyDescent="0.35">
      <c r="B85" s="35" t="s">
        <v>88</v>
      </c>
    </row>
    <row r="86" spans="2:13" ht="15.5" x14ac:dyDescent="0.35">
      <c r="B86" s="2" t="s">
        <v>89</v>
      </c>
      <c r="G86" s="172" t="s">
        <v>4</v>
      </c>
      <c r="H86" s="7"/>
      <c r="L86" s="36"/>
      <c r="M86" s="36"/>
    </row>
    <row r="87" spans="2:13" ht="15.5" x14ac:dyDescent="0.35">
      <c r="B87" s="2"/>
      <c r="G87" s="7"/>
      <c r="H87" s="7"/>
      <c r="L87" s="36"/>
      <c r="M87" s="36"/>
    </row>
    <row r="88" spans="2:13" ht="14.5" x14ac:dyDescent="0.35">
      <c r="B88" s="37" t="s">
        <v>90</v>
      </c>
    </row>
    <row r="89" spans="2:13" ht="14.5" x14ac:dyDescent="0.35"/>
    <row r="90" spans="2:13" ht="18.5" x14ac:dyDescent="0.45">
      <c r="B90" s="1" t="s">
        <v>386</v>
      </c>
    </row>
    <row r="91" spans="2:13" ht="14.5" x14ac:dyDescent="0.35">
      <c r="B91" s="447" t="s">
        <v>1429</v>
      </c>
      <c r="C91" s="447"/>
      <c r="D91" s="447"/>
      <c r="E91" s="447"/>
      <c r="F91" s="447"/>
      <c r="G91" s="447"/>
      <c r="H91" s="447"/>
      <c r="I91" s="447"/>
      <c r="J91" s="447"/>
      <c r="K91" s="447"/>
      <c r="L91" s="447"/>
      <c r="M91" s="447"/>
    </row>
    <row r="92" spans="2:13" ht="28.5" customHeight="1" x14ac:dyDescent="0.35">
      <c r="B92" s="409" t="s">
        <v>1428</v>
      </c>
      <c r="C92" s="409"/>
      <c r="D92" s="409"/>
      <c r="E92" s="409"/>
      <c r="F92" s="409"/>
      <c r="G92" s="409"/>
      <c r="H92" s="409"/>
      <c r="I92" s="409"/>
      <c r="J92" s="409"/>
      <c r="K92" s="409"/>
      <c r="L92" s="409"/>
      <c r="M92" s="409"/>
    </row>
    <row r="93" spans="2:13" ht="14.5" x14ac:dyDescent="0.35">
      <c r="B93" s="34"/>
      <c r="C93" s="34"/>
      <c r="D93" s="34"/>
      <c r="E93" s="34"/>
      <c r="F93" s="34"/>
      <c r="G93" s="34"/>
      <c r="H93" s="34"/>
      <c r="I93" s="144"/>
      <c r="J93" s="144"/>
      <c r="K93" s="144"/>
      <c r="L93" s="144"/>
      <c r="M93" s="144"/>
    </row>
    <row r="94" spans="2:13" ht="15.5" x14ac:dyDescent="0.35">
      <c r="B94" s="164" t="s">
        <v>577</v>
      </c>
      <c r="C94" s="72"/>
      <c r="D94" s="72"/>
      <c r="E94" s="72"/>
      <c r="F94" s="72"/>
      <c r="G94" s="33"/>
      <c r="H94" s="33"/>
    </row>
    <row r="95" spans="2:13" ht="57" customHeight="1" x14ac:dyDescent="0.35">
      <c r="B95" s="448" t="s">
        <v>91</v>
      </c>
      <c r="C95" s="448"/>
      <c r="D95" s="448"/>
      <c r="E95" s="448"/>
      <c r="F95" s="448"/>
      <c r="G95" s="448"/>
      <c r="H95" s="448"/>
      <c r="I95" s="448"/>
      <c r="J95" s="448"/>
      <c r="K95" s="448"/>
      <c r="L95" s="448"/>
      <c r="M95" s="448"/>
    </row>
    <row r="96" spans="2:13" ht="14.5" x14ac:dyDescent="0.35">
      <c r="B96" s="10" t="s">
        <v>92</v>
      </c>
      <c r="E96" s="388" t="s">
        <v>572</v>
      </c>
      <c r="G96" s="434" t="s">
        <v>93</v>
      </c>
      <c r="H96" s="434"/>
      <c r="I96" s="434"/>
    </row>
    <row r="97" spans="2:13" ht="14.5" x14ac:dyDescent="0.35">
      <c r="B97" s="431" t="s">
        <v>1404</v>
      </c>
      <c r="C97" s="431"/>
      <c r="D97" s="166"/>
      <c r="E97" s="259"/>
      <c r="G97" s="408"/>
      <c r="H97" s="408"/>
      <c r="I97" s="408"/>
    </row>
    <row r="98" spans="2:13" ht="14.5" x14ac:dyDescent="0.35">
      <c r="B98" s="431" t="s">
        <v>1405</v>
      </c>
      <c r="C98" s="431"/>
      <c r="D98" s="166"/>
      <c r="E98" s="259"/>
      <c r="G98" s="408"/>
      <c r="H98" s="408"/>
      <c r="I98" s="408"/>
    </row>
    <row r="99" spans="2:13" ht="14.5" x14ac:dyDescent="0.35">
      <c r="B99" s="431" t="s">
        <v>1406</v>
      </c>
      <c r="C99" s="431"/>
      <c r="D99" s="166"/>
      <c r="E99" s="259"/>
      <c r="G99" s="408"/>
      <c r="H99" s="408"/>
      <c r="I99" s="408"/>
    </row>
    <row r="100" spans="2:13" ht="14.5" x14ac:dyDescent="0.35">
      <c r="B100" s="431" t="s">
        <v>1407</v>
      </c>
      <c r="C100" s="431"/>
      <c r="D100" s="166"/>
      <c r="E100" s="259"/>
      <c r="G100" s="408"/>
      <c r="H100" s="408"/>
      <c r="I100" s="408"/>
    </row>
    <row r="101" spans="2:13" ht="14.5" x14ac:dyDescent="0.35">
      <c r="B101" s="431" t="s">
        <v>1408</v>
      </c>
      <c r="C101" s="431"/>
      <c r="D101" s="166"/>
      <c r="E101" s="259"/>
      <c r="G101" s="408"/>
      <c r="H101" s="408"/>
      <c r="I101" s="408"/>
    </row>
    <row r="102" spans="2:13" ht="14.5" x14ac:dyDescent="0.35">
      <c r="B102" s="431" t="s">
        <v>1409</v>
      </c>
      <c r="C102" s="431"/>
      <c r="D102" s="166"/>
      <c r="E102" s="259"/>
      <c r="G102" s="408"/>
      <c r="H102" s="408"/>
      <c r="I102" s="408"/>
    </row>
    <row r="103" spans="2:13" ht="14.5" x14ac:dyDescent="0.35">
      <c r="B103" s="431" t="s">
        <v>1410</v>
      </c>
      <c r="C103" s="431"/>
      <c r="D103" s="166"/>
      <c r="E103" s="259"/>
      <c r="G103" s="408"/>
      <c r="H103" s="408"/>
      <c r="I103" s="408"/>
    </row>
    <row r="104" spans="2:13" ht="14.5" x14ac:dyDescent="0.35">
      <c r="B104" s="431" t="s">
        <v>1411</v>
      </c>
      <c r="C104" s="431"/>
      <c r="D104" s="166"/>
      <c r="E104" s="259"/>
      <c r="G104" s="408"/>
      <c r="H104" s="408"/>
      <c r="I104" s="408"/>
    </row>
    <row r="105" spans="2:13" ht="9" customHeight="1" x14ac:dyDescent="0.35">
      <c r="E105" s="44"/>
      <c r="G105" s="131"/>
    </row>
    <row r="106" spans="2:13" ht="14.5" x14ac:dyDescent="0.35">
      <c r="B106" s="165" t="s">
        <v>1391</v>
      </c>
      <c r="E106" s="44"/>
      <c r="G106" s="131"/>
    </row>
    <row r="107" spans="2:13" ht="9" customHeight="1" x14ac:dyDescent="0.35"/>
    <row r="108" spans="2:13" ht="17.5" x14ac:dyDescent="0.45">
      <c r="B108" s="164" t="s">
        <v>578</v>
      </c>
    </row>
    <row r="109" spans="2:13" ht="31" customHeight="1" x14ac:dyDescent="0.35">
      <c r="B109" s="443" t="s">
        <v>1430</v>
      </c>
      <c r="C109" s="443"/>
      <c r="D109" s="443"/>
      <c r="E109" s="443"/>
      <c r="F109" s="443"/>
      <c r="G109" s="443"/>
      <c r="H109" s="443"/>
      <c r="I109" s="443"/>
      <c r="J109" s="443"/>
      <c r="K109" s="443"/>
      <c r="L109" s="443"/>
      <c r="M109" s="443"/>
    </row>
    <row r="110" spans="2:13" ht="14.5" x14ac:dyDescent="0.35">
      <c r="B110" s="2" t="s">
        <v>94</v>
      </c>
      <c r="F110" s="30" t="s">
        <v>85</v>
      </c>
      <c r="G110" s="30" t="s">
        <v>57</v>
      </c>
    </row>
    <row r="111" spans="2:13" ht="20.149999999999999" customHeight="1" x14ac:dyDescent="0.35">
      <c r="B111" s="167" t="s">
        <v>95</v>
      </c>
      <c r="C111" s="167"/>
      <c r="D111" s="167"/>
      <c r="E111" s="168"/>
      <c r="F111" s="171"/>
      <c r="G111" s="168" t="s">
        <v>86</v>
      </c>
    </row>
    <row r="112" spans="2:13" ht="20.149999999999999" customHeight="1" x14ac:dyDescent="0.35">
      <c r="B112" s="167" t="s">
        <v>96</v>
      </c>
      <c r="C112" s="169"/>
      <c r="D112" s="169"/>
      <c r="E112" s="170"/>
      <c r="F112" s="171"/>
      <c r="G112" s="168" t="s">
        <v>86</v>
      </c>
    </row>
    <row r="113" spans="2:13" ht="20.149999999999999" customHeight="1" x14ac:dyDescent="0.35">
      <c r="B113" s="167" t="s">
        <v>97</v>
      </c>
      <c r="C113" s="169"/>
      <c r="D113" s="169"/>
      <c r="E113" s="170"/>
      <c r="F113" s="171"/>
      <c r="G113" s="168" t="s">
        <v>86</v>
      </c>
    </row>
    <row r="114" spans="2:13" ht="20.149999999999999" customHeight="1" x14ac:dyDescent="0.35">
      <c r="E114" s="33"/>
      <c r="F114" s="33"/>
      <c r="G114" s="33"/>
    </row>
    <row r="115" spans="2:13" ht="20.149999999999999" customHeight="1" x14ac:dyDescent="0.35">
      <c r="B115" s="12"/>
      <c r="C115" s="12"/>
      <c r="D115" s="12"/>
      <c r="E115" s="12"/>
      <c r="F115" s="12"/>
      <c r="G115" s="12"/>
      <c r="H115" s="12"/>
      <c r="I115" s="79"/>
      <c r="J115" s="79"/>
      <c r="K115" s="79"/>
      <c r="L115" s="79"/>
      <c r="M115" s="79"/>
    </row>
    <row r="116" spans="2:13" ht="20.149999999999999" customHeight="1" x14ac:dyDescent="0.35">
      <c r="B116" s="11"/>
      <c r="C116" s="11"/>
      <c r="D116" s="11"/>
      <c r="E116" s="11"/>
      <c r="F116" s="11"/>
      <c r="G116" s="11"/>
      <c r="H116" s="11"/>
      <c r="I116" s="78"/>
      <c r="J116" s="78"/>
      <c r="K116" s="78"/>
      <c r="L116" s="78"/>
      <c r="M116" s="78"/>
    </row>
    <row r="117" spans="2:13" ht="20.149999999999999" customHeight="1" x14ac:dyDescent="0.35"/>
    <row r="118" spans="2:13" ht="20.149999999999999" hidden="1" customHeight="1" x14ac:dyDescent="0.35">
      <c r="E118" t="s">
        <v>98</v>
      </c>
    </row>
    <row r="119" spans="2:13" ht="20.149999999999999" hidden="1" customHeight="1" x14ac:dyDescent="0.45">
      <c r="B119" t="s">
        <v>36</v>
      </c>
      <c r="E119" t="s">
        <v>185</v>
      </c>
    </row>
    <row r="120" spans="2:13" ht="20.149999999999999" hidden="1" customHeight="1" x14ac:dyDescent="0.35">
      <c r="B120" t="s">
        <v>39</v>
      </c>
      <c r="E120" t="s">
        <v>63</v>
      </c>
    </row>
    <row r="121" spans="2:13" ht="20.149999999999999" hidden="1" customHeight="1" x14ac:dyDescent="0.35">
      <c r="B121" t="s">
        <v>42</v>
      </c>
      <c r="E121" t="s">
        <v>307</v>
      </c>
    </row>
    <row r="122" spans="2:13" ht="20.149999999999999" hidden="1" customHeight="1" x14ac:dyDescent="0.35">
      <c r="B122" t="s">
        <v>43</v>
      </c>
      <c r="E122" t="s">
        <v>303</v>
      </c>
    </row>
    <row r="123" spans="2:13" ht="20.149999999999999" hidden="1" customHeight="1" x14ac:dyDescent="0.35">
      <c r="B123" t="s">
        <v>46</v>
      </c>
      <c r="E123" t="s">
        <v>309</v>
      </c>
    </row>
    <row r="124" spans="2:13" ht="20.149999999999999" hidden="1" customHeight="1" x14ac:dyDescent="0.35">
      <c r="B124" t="s">
        <v>104</v>
      </c>
      <c r="E124" t="s">
        <v>99</v>
      </c>
    </row>
    <row r="125" spans="2:13" ht="20.149999999999999" hidden="1" customHeight="1" x14ac:dyDescent="0.35">
      <c r="B125" t="s">
        <v>106</v>
      </c>
      <c r="E125" t="s">
        <v>100</v>
      </c>
    </row>
    <row r="126" spans="2:13" ht="20.149999999999999" hidden="1" customHeight="1" x14ac:dyDescent="0.35">
      <c r="B126" t="s">
        <v>37</v>
      </c>
      <c r="E126" t="s">
        <v>101</v>
      </c>
    </row>
    <row r="127" spans="2:13" ht="20.149999999999999" hidden="1" customHeight="1" x14ac:dyDescent="0.35">
      <c r="E127" t="s">
        <v>102</v>
      </c>
    </row>
    <row r="128" spans="2:13" ht="20.149999999999999" hidden="1" customHeight="1" x14ac:dyDescent="0.35">
      <c r="E128" t="s">
        <v>103</v>
      </c>
    </row>
    <row r="129" spans="5:5" ht="20.149999999999999" hidden="1" customHeight="1" x14ac:dyDescent="0.35">
      <c r="E129" t="s">
        <v>105</v>
      </c>
    </row>
    <row r="130" spans="5:5" ht="20.149999999999999" hidden="1" customHeight="1" x14ac:dyDescent="0.35">
      <c r="E130" t="s">
        <v>107</v>
      </c>
    </row>
    <row r="131" spans="5:5" ht="20.149999999999999" hidden="1" customHeight="1" x14ac:dyDescent="0.35">
      <c r="E131" t="s">
        <v>108</v>
      </c>
    </row>
    <row r="132" spans="5:5" ht="20.149999999999999" hidden="1" customHeight="1" x14ac:dyDescent="0.35">
      <c r="E132" t="s">
        <v>109</v>
      </c>
    </row>
    <row r="133" spans="5:5" ht="20.149999999999999" hidden="1" customHeight="1" x14ac:dyDescent="0.35">
      <c r="E133" t="s">
        <v>110</v>
      </c>
    </row>
    <row r="134" spans="5:5" ht="20.149999999999999" hidden="1" customHeight="1" x14ac:dyDescent="0.35">
      <c r="E134" t="s">
        <v>111</v>
      </c>
    </row>
    <row r="135" spans="5:5" ht="20.149999999999999" hidden="1" customHeight="1" x14ac:dyDescent="0.35">
      <c r="E135" t="s">
        <v>112</v>
      </c>
    </row>
    <row r="136" spans="5:5" ht="20.149999999999999" hidden="1" customHeight="1" x14ac:dyDescent="0.35">
      <c r="E136" t="s">
        <v>113</v>
      </c>
    </row>
    <row r="137" spans="5:5" ht="20.149999999999999" hidden="1" customHeight="1" x14ac:dyDescent="0.35">
      <c r="E137" t="s">
        <v>114</v>
      </c>
    </row>
    <row r="138" spans="5:5" ht="20.149999999999999" hidden="1" customHeight="1" x14ac:dyDescent="0.35">
      <c r="E138" t="s">
        <v>115</v>
      </c>
    </row>
    <row r="139" spans="5:5" ht="20.149999999999999" hidden="1" customHeight="1" x14ac:dyDescent="0.35">
      <c r="E139" t="s">
        <v>116</v>
      </c>
    </row>
    <row r="140" spans="5:5" ht="20.149999999999999" hidden="1" customHeight="1" x14ac:dyDescent="0.35">
      <c r="E140" t="s">
        <v>117</v>
      </c>
    </row>
    <row r="141" spans="5:5" ht="20.149999999999999" hidden="1" customHeight="1" x14ac:dyDescent="0.35">
      <c r="E141" t="s">
        <v>118</v>
      </c>
    </row>
    <row r="142" spans="5:5" ht="20.149999999999999" hidden="1" customHeight="1" x14ac:dyDescent="0.35">
      <c r="E142" t="s">
        <v>119</v>
      </c>
    </row>
    <row r="143" spans="5:5" ht="20.149999999999999" hidden="1" customHeight="1" x14ac:dyDescent="0.35">
      <c r="E143" t="s">
        <v>120</v>
      </c>
    </row>
    <row r="144" spans="5:5" ht="20.149999999999999" hidden="1" customHeight="1" x14ac:dyDescent="0.35">
      <c r="E144" t="s">
        <v>121</v>
      </c>
    </row>
    <row r="145" spans="5:5" ht="20.149999999999999" hidden="1" customHeight="1" x14ac:dyDescent="0.35">
      <c r="E145" t="s">
        <v>122</v>
      </c>
    </row>
    <row r="146" spans="5:5" ht="20.149999999999999" hidden="1" customHeight="1" x14ac:dyDescent="0.35">
      <c r="E146" t="s">
        <v>123</v>
      </c>
    </row>
    <row r="147" spans="5:5" ht="20.149999999999999" hidden="1" customHeight="1" x14ac:dyDescent="0.35">
      <c r="E147" t="s">
        <v>124</v>
      </c>
    </row>
    <row r="148" spans="5:5" ht="20.149999999999999" hidden="1" customHeight="1" x14ac:dyDescent="0.35">
      <c r="E148" t="s">
        <v>125</v>
      </c>
    </row>
    <row r="149" spans="5:5" ht="20.149999999999999" hidden="1" customHeight="1" x14ac:dyDescent="0.35">
      <c r="E149" t="s">
        <v>126</v>
      </c>
    </row>
    <row r="150" spans="5:5" ht="20.149999999999999" hidden="1" customHeight="1" x14ac:dyDescent="0.35">
      <c r="E150" t="s">
        <v>127</v>
      </c>
    </row>
    <row r="151" spans="5:5" ht="20.149999999999999" hidden="1" customHeight="1" x14ac:dyDescent="0.35">
      <c r="E151" t="s">
        <v>128</v>
      </c>
    </row>
    <row r="152" spans="5:5" ht="20.149999999999999" hidden="1" customHeight="1" x14ac:dyDescent="0.35">
      <c r="E152" t="s">
        <v>129</v>
      </c>
    </row>
    <row r="153" spans="5:5" ht="20.149999999999999" hidden="1" customHeight="1" x14ac:dyDescent="0.35">
      <c r="E153" t="s">
        <v>130</v>
      </c>
    </row>
    <row r="154" spans="5:5" ht="20.149999999999999" hidden="1" customHeight="1" x14ac:dyDescent="0.35">
      <c r="E154" t="s">
        <v>131</v>
      </c>
    </row>
    <row r="155" spans="5:5" ht="20.149999999999999" hidden="1" customHeight="1" x14ac:dyDescent="0.35">
      <c r="E155" t="s">
        <v>132</v>
      </c>
    </row>
    <row r="156" spans="5:5" ht="20.149999999999999" hidden="1" customHeight="1" x14ac:dyDescent="0.35">
      <c r="E156" t="s">
        <v>133</v>
      </c>
    </row>
    <row r="157" spans="5:5" ht="20.149999999999999" hidden="1" customHeight="1" x14ac:dyDescent="0.35">
      <c r="E157" t="s">
        <v>134</v>
      </c>
    </row>
    <row r="158" spans="5:5" ht="20.149999999999999" hidden="1" customHeight="1" x14ac:dyDescent="0.35">
      <c r="E158" t="s">
        <v>135</v>
      </c>
    </row>
    <row r="159" spans="5:5" ht="20.149999999999999" hidden="1" customHeight="1" x14ac:dyDescent="0.35">
      <c r="E159" t="s">
        <v>136</v>
      </c>
    </row>
    <row r="160" spans="5:5" ht="20.149999999999999" hidden="1" customHeight="1" x14ac:dyDescent="0.35">
      <c r="E160" t="s">
        <v>137</v>
      </c>
    </row>
    <row r="161" spans="5:5" ht="20.149999999999999" hidden="1" customHeight="1" x14ac:dyDescent="0.35">
      <c r="E161" t="s">
        <v>138</v>
      </c>
    </row>
    <row r="162" spans="5:5" ht="20.149999999999999" hidden="1" customHeight="1" x14ac:dyDescent="0.35">
      <c r="E162" t="s">
        <v>139</v>
      </c>
    </row>
    <row r="163" spans="5:5" ht="20.149999999999999" hidden="1" customHeight="1" x14ac:dyDescent="0.35">
      <c r="E163" t="s">
        <v>140</v>
      </c>
    </row>
    <row r="164" spans="5:5" ht="20.149999999999999" hidden="1" customHeight="1" x14ac:dyDescent="0.35">
      <c r="E164" t="s">
        <v>141</v>
      </c>
    </row>
    <row r="165" spans="5:5" ht="20.149999999999999" hidden="1" customHeight="1" x14ac:dyDescent="0.35">
      <c r="E165" t="s">
        <v>142</v>
      </c>
    </row>
    <row r="166" spans="5:5" ht="20.149999999999999" hidden="1" customHeight="1" x14ac:dyDescent="0.35">
      <c r="E166" t="s">
        <v>143</v>
      </c>
    </row>
    <row r="167" spans="5:5" ht="20.149999999999999" hidden="1" customHeight="1" x14ac:dyDescent="0.35">
      <c r="E167" t="s">
        <v>144</v>
      </c>
    </row>
    <row r="168" spans="5:5" ht="20.149999999999999" hidden="1" customHeight="1" x14ac:dyDescent="0.35">
      <c r="E168" t="s">
        <v>145</v>
      </c>
    </row>
    <row r="169" spans="5:5" ht="20.149999999999999" hidden="1" customHeight="1" x14ac:dyDescent="0.35">
      <c r="E169" t="s">
        <v>146</v>
      </c>
    </row>
    <row r="170" spans="5:5" ht="20.149999999999999" hidden="1" customHeight="1" x14ac:dyDescent="0.35">
      <c r="E170" t="s">
        <v>147</v>
      </c>
    </row>
    <row r="171" spans="5:5" ht="20.149999999999999" hidden="1" customHeight="1" x14ac:dyDescent="0.35">
      <c r="E171" t="s">
        <v>148</v>
      </c>
    </row>
    <row r="172" spans="5:5" ht="20.149999999999999" hidden="1" customHeight="1" x14ac:dyDescent="0.35">
      <c r="E172" t="s">
        <v>149</v>
      </c>
    </row>
    <row r="173" spans="5:5" ht="20.149999999999999" hidden="1" customHeight="1" x14ac:dyDescent="0.35">
      <c r="E173" t="s">
        <v>150</v>
      </c>
    </row>
    <row r="174" spans="5:5" ht="20.149999999999999" hidden="1" customHeight="1" x14ac:dyDescent="0.35">
      <c r="E174" t="s">
        <v>151</v>
      </c>
    </row>
    <row r="175" spans="5:5" ht="20.149999999999999" hidden="1" customHeight="1" x14ac:dyDescent="0.35">
      <c r="E175" t="s">
        <v>152</v>
      </c>
    </row>
    <row r="176" spans="5:5" ht="20.149999999999999" hidden="1" customHeight="1" x14ac:dyDescent="0.35">
      <c r="E176" t="s">
        <v>153</v>
      </c>
    </row>
    <row r="177" spans="5:5" ht="20.149999999999999" hidden="1" customHeight="1" x14ac:dyDescent="0.35">
      <c r="E177" t="s">
        <v>154</v>
      </c>
    </row>
    <row r="178" spans="5:5" ht="20.149999999999999" hidden="1" customHeight="1" x14ac:dyDescent="0.35">
      <c r="E178" t="s">
        <v>155</v>
      </c>
    </row>
    <row r="179" spans="5:5" ht="20.149999999999999" hidden="1" customHeight="1" x14ac:dyDescent="0.35">
      <c r="E179" t="s">
        <v>156</v>
      </c>
    </row>
    <row r="180" spans="5:5" ht="20.149999999999999" hidden="1" customHeight="1" x14ac:dyDescent="0.35">
      <c r="E180" t="s">
        <v>157</v>
      </c>
    </row>
    <row r="181" spans="5:5" ht="20.149999999999999" hidden="1" customHeight="1" x14ac:dyDescent="0.35">
      <c r="E181" t="s">
        <v>158</v>
      </c>
    </row>
    <row r="182" spans="5:5" ht="20.149999999999999" hidden="1" customHeight="1" x14ac:dyDescent="0.35">
      <c r="E182" t="s">
        <v>159</v>
      </c>
    </row>
    <row r="183" spans="5:5" ht="20.149999999999999" hidden="1" customHeight="1" x14ac:dyDescent="0.35">
      <c r="E183" t="s">
        <v>160</v>
      </c>
    </row>
    <row r="184" spans="5:5" ht="20.149999999999999" hidden="1" customHeight="1" x14ac:dyDescent="0.35">
      <c r="E184" t="s">
        <v>161</v>
      </c>
    </row>
    <row r="185" spans="5:5" ht="20.149999999999999" hidden="1" customHeight="1" x14ac:dyDescent="0.35">
      <c r="E185" t="s">
        <v>162</v>
      </c>
    </row>
    <row r="186" spans="5:5" ht="20.149999999999999" hidden="1" customHeight="1" x14ac:dyDescent="0.35">
      <c r="E186" t="s">
        <v>163</v>
      </c>
    </row>
    <row r="187" spans="5:5" ht="20.149999999999999" hidden="1" customHeight="1" x14ac:dyDescent="0.35">
      <c r="E187" t="s">
        <v>164</v>
      </c>
    </row>
    <row r="188" spans="5:5" ht="20.149999999999999" hidden="1" customHeight="1" x14ac:dyDescent="0.35">
      <c r="E188" t="s">
        <v>165</v>
      </c>
    </row>
    <row r="189" spans="5:5" ht="20.149999999999999" hidden="1" customHeight="1" x14ac:dyDescent="0.35">
      <c r="E189" t="s">
        <v>166</v>
      </c>
    </row>
    <row r="190" spans="5:5" ht="20.149999999999999" hidden="1" customHeight="1" x14ac:dyDescent="0.35">
      <c r="E190" t="s">
        <v>167</v>
      </c>
    </row>
    <row r="191" spans="5:5" ht="20.149999999999999" hidden="1" customHeight="1" x14ac:dyDescent="0.35">
      <c r="E191" t="s">
        <v>168</v>
      </c>
    </row>
    <row r="192" spans="5:5" ht="20.149999999999999" hidden="1" customHeight="1" x14ac:dyDescent="0.35">
      <c r="E192" t="s">
        <v>169</v>
      </c>
    </row>
    <row r="193" spans="5:5" ht="20.149999999999999" hidden="1" customHeight="1" x14ac:dyDescent="0.35">
      <c r="E193" t="s">
        <v>170</v>
      </c>
    </row>
    <row r="194" spans="5:5" ht="20.149999999999999" hidden="1" customHeight="1" x14ac:dyDescent="0.35">
      <c r="E194" t="s">
        <v>171</v>
      </c>
    </row>
    <row r="195" spans="5:5" ht="20.149999999999999" hidden="1" customHeight="1" x14ac:dyDescent="0.35">
      <c r="E195" t="s">
        <v>172</v>
      </c>
    </row>
    <row r="196" spans="5:5" ht="20.149999999999999" hidden="1" customHeight="1" x14ac:dyDescent="0.35">
      <c r="E196" t="s">
        <v>173</v>
      </c>
    </row>
    <row r="197" spans="5:5" ht="20.149999999999999" hidden="1" customHeight="1" x14ac:dyDescent="0.35">
      <c r="E197" t="s">
        <v>174</v>
      </c>
    </row>
    <row r="198" spans="5:5" ht="20.149999999999999" hidden="1" customHeight="1" x14ac:dyDescent="0.35">
      <c r="E198" t="s">
        <v>175</v>
      </c>
    </row>
    <row r="199" spans="5:5" ht="20.149999999999999" hidden="1" customHeight="1" x14ac:dyDescent="0.35">
      <c r="E199" t="s">
        <v>176</v>
      </c>
    </row>
    <row r="200" spans="5:5" ht="20.149999999999999" hidden="1" customHeight="1" x14ac:dyDescent="0.35">
      <c r="E200" t="s">
        <v>177</v>
      </c>
    </row>
    <row r="201" spans="5:5" ht="20.149999999999999" hidden="1" customHeight="1" x14ac:dyDescent="0.35">
      <c r="E201" t="s">
        <v>178</v>
      </c>
    </row>
    <row r="202" spans="5:5" ht="20.149999999999999" hidden="1" customHeight="1" x14ac:dyDescent="0.35">
      <c r="E202" t="s">
        <v>179</v>
      </c>
    </row>
    <row r="203" spans="5:5" ht="20.149999999999999" hidden="1" customHeight="1" x14ac:dyDescent="0.35">
      <c r="E203" t="s">
        <v>180</v>
      </c>
    </row>
    <row r="204" spans="5:5" ht="20.149999999999999" hidden="1" customHeight="1" x14ac:dyDescent="0.35">
      <c r="E204" t="s">
        <v>181</v>
      </c>
    </row>
    <row r="205" spans="5:5" ht="20.149999999999999" hidden="1" customHeight="1" x14ac:dyDescent="0.35">
      <c r="E205" t="s">
        <v>182</v>
      </c>
    </row>
    <row r="206" spans="5:5" ht="20.149999999999999" hidden="1" customHeight="1" x14ac:dyDescent="0.35">
      <c r="E206" t="s">
        <v>183</v>
      </c>
    </row>
    <row r="207" spans="5:5" ht="20.149999999999999" hidden="1" customHeight="1" x14ac:dyDescent="0.35">
      <c r="E207" t="s">
        <v>184</v>
      </c>
    </row>
    <row r="208" spans="5:5" ht="20.149999999999999" hidden="1" customHeight="1" x14ac:dyDescent="0.35">
      <c r="E208" t="s">
        <v>310</v>
      </c>
    </row>
    <row r="209" spans="5:5" ht="20.149999999999999" hidden="1" customHeight="1" x14ac:dyDescent="0.35">
      <c r="E209" t="s">
        <v>308</v>
      </c>
    </row>
  </sheetData>
  <sheetProtection algorithmName="SHA-512" hashValue="gf5iZDGshS8MpRArCql4HZ2g6edpAIJzIXRLeDDFjZ342DnOexTp754CC8Yw3GtcegyUefg+IOMaG6pgN8NMTQ==" saltValue="LXVT4P9/E55yGIqqLMhUYw==" spinCount="100000" sheet="1" formatCells="0" formatColumns="0" formatRows="0"/>
  <protectedRanges>
    <protectedRange sqref="C18:F23 C25:F28 I18:I23 I25:I28 C40:F57 E59 I40:J45 I49:J57 L40:L57 C69:E78 F81 G86 E97:E104 G97:I104 F111:F113" name="Range1"/>
  </protectedRanges>
  <sortState xmlns:xlrd2="http://schemas.microsoft.com/office/spreadsheetml/2017/richdata2" ref="E119:E209">
    <sortCondition ref="E119:E209"/>
  </sortState>
  <mergeCells count="57">
    <mergeCell ref="K6:L6"/>
    <mergeCell ref="K25:M28"/>
    <mergeCell ref="G99:I99"/>
    <mergeCell ref="I59:M59"/>
    <mergeCell ref="B92:M92"/>
    <mergeCell ref="B91:M91"/>
    <mergeCell ref="B95:M95"/>
    <mergeCell ref="B8:M8"/>
    <mergeCell ref="B35:M35"/>
    <mergeCell ref="B13:M13"/>
    <mergeCell ref="B64:M64"/>
    <mergeCell ref="I16:J16"/>
    <mergeCell ref="B14:M14"/>
    <mergeCell ref="B36:M36"/>
    <mergeCell ref="B30:M30"/>
    <mergeCell ref="C40:C42"/>
    <mergeCell ref="B109:M109"/>
    <mergeCell ref="G103:I103"/>
    <mergeCell ref="G104:I104"/>
    <mergeCell ref="G102:I102"/>
    <mergeCell ref="G101:I101"/>
    <mergeCell ref="B102:C102"/>
    <mergeCell ref="B103:C103"/>
    <mergeCell ref="B104:C104"/>
    <mergeCell ref="B101:C101"/>
    <mergeCell ref="B31:M31"/>
    <mergeCell ref="L38:M38"/>
    <mergeCell ref="G100:I100"/>
    <mergeCell ref="G98:I98"/>
    <mergeCell ref="B98:C98"/>
    <mergeCell ref="B99:C99"/>
    <mergeCell ref="B100:C100"/>
    <mergeCell ref="G96:I96"/>
    <mergeCell ref="B81:C81"/>
    <mergeCell ref="I38:J38"/>
    <mergeCell ref="B43:B45"/>
    <mergeCell ref="C43:C45"/>
    <mergeCell ref="C52:C54"/>
    <mergeCell ref="C55:C57"/>
    <mergeCell ref="C46:C48"/>
    <mergeCell ref="B55:B57"/>
    <mergeCell ref="G16:H28"/>
    <mergeCell ref="G39:H59"/>
    <mergeCell ref="G97:I97"/>
    <mergeCell ref="B65:M65"/>
    <mergeCell ref="B80:M80"/>
    <mergeCell ref="B52:B54"/>
    <mergeCell ref="B46:B48"/>
    <mergeCell ref="B49:B51"/>
    <mergeCell ref="B40:B42"/>
    <mergeCell ref="C49:C51"/>
    <mergeCell ref="B38:B39"/>
    <mergeCell ref="C38:C39"/>
    <mergeCell ref="E38:E39"/>
    <mergeCell ref="F38:F39"/>
    <mergeCell ref="I46:K48"/>
    <mergeCell ref="B97:C97"/>
  </mergeCells>
  <phoneticPr fontId="14" type="noConversion"/>
  <conditionalFormatting sqref="B105:I106">
    <cfRule type="expression" dxfId="31" priority="21">
      <formula>$G$86="NO"</formula>
    </cfRule>
  </conditionalFormatting>
  <conditionalFormatting sqref="B88:M95 B96:G96 J96:M106 B97:B104 D97:G104 B107:M107 B108:C108 E108:M108 B109:M109 B110:E110 H110:M110 B111:M114">
    <cfRule type="expression" dxfId="30" priority="60">
      <formula>$G$86="NO"</formula>
    </cfRule>
  </conditionalFormatting>
  <conditionalFormatting sqref="E18:F18 I18:J18">
    <cfRule type="expression" dxfId="29" priority="10">
      <formula>$C$18="NO"</formula>
    </cfRule>
  </conditionalFormatting>
  <conditionalFormatting sqref="E19:F19 I19:J19">
    <cfRule type="expression" dxfId="28" priority="9">
      <formula>$C$19="NO"</formula>
    </cfRule>
  </conditionalFormatting>
  <conditionalFormatting sqref="E20:F20 I20:J20">
    <cfRule type="expression" dxfId="27" priority="8">
      <formula>$C$20="NO"</formula>
    </cfRule>
  </conditionalFormatting>
  <conditionalFormatting sqref="E21:F21 I21:J21">
    <cfRule type="expression" dxfId="26" priority="7">
      <formula>$C$21="NO"</formula>
    </cfRule>
  </conditionalFormatting>
  <conditionalFormatting sqref="E22:F22 I22:J22">
    <cfRule type="expression" dxfId="25" priority="6">
      <formula>$C$22="NO"</formula>
    </cfRule>
  </conditionalFormatting>
  <conditionalFormatting sqref="E23:F23 I23:J23">
    <cfRule type="expression" dxfId="24" priority="5">
      <formula>$C$23="NO"</formula>
    </cfRule>
  </conditionalFormatting>
  <conditionalFormatting sqref="E25:F25 I25:J25">
    <cfRule type="expression" dxfId="23" priority="4">
      <formula>$C$25="NO"</formula>
    </cfRule>
  </conditionalFormatting>
  <conditionalFormatting sqref="E26:F26 I26:J26">
    <cfRule type="expression" dxfId="22" priority="3">
      <formula>$C$26="NO"</formula>
    </cfRule>
  </conditionalFormatting>
  <conditionalFormatting sqref="E27:F27 I27:J27">
    <cfRule type="expression" dxfId="21" priority="2">
      <formula>$C$27="NO"</formula>
    </cfRule>
  </conditionalFormatting>
  <conditionalFormatting sqref="E28:F28 I28:J28">
    <cfRule type="expression" dxfId="20" priority="1">
      <formula>$C$28="NO"</formula>
    </cfRule>
  </conditionalFormatting>
  <conditionalFormatting sqref="E40:F42 I40:M42">
    <cfRule type="expression" dxfId="19" priority="67">
      <formula>$C$40="NO"</formula>
    </cfRule>
  </conditionalFormatting>
  <conditionalFormatting sqref="E43:F45 I43:M45">
    <cfRule type="expression" dxfId="18" priority="72">
      <formula>$C$43="NO"</formula>
    </cfRule>
  </conditionalFormatting>
  <conditionalFormatting sqref="E49:F51 I49:M51">
    <cfRule type="expression" dxfId="17" priority="70">
      <formula>$C$49="NO"</formula>
    </cfRule>
  </conditionalFormatting>
  <conditionalFormatting sqref="E52:F54 I52:M54">
    <cfRule type="expression" dxfId="16" priority="69">
      <formula>$C$52="NO"</formula>
    </cfRule>
  </conditionalFormatting>
  <conditionalFormatting sqref="E55:F57 I55:M57">
    <cfRule type="expression" dxfId="15" priority="68">
      <formula>$C$55="NO"</formula>
    </cfRule>
  </conditionalFormatting>
  <conditionalFormatting sqref="E59:F59 I59:M59">
    <cfRule type="expression" dxfId="14" priority="11">
      <formula>$C$59="NO"</formula>
    </cfRule>
  </conditionalFormatting>
  <conditionalFormatting sqref="I46 E46:F48 L46:M48">
    <cfRule type="expression" dxfId="13" priority="71">
      <formula>$C$46="NO"</formula>
    </cfRule>
  </conditionalFormatting>
  <dataValidations count="21">
    <dataValidation type="list" allowBlank="1" showInputMessage="1" showErrorMessage="1" sqref="F18" xr:uid="{F019EF1C-0FCA-4731-89F4-A56036435538}">
      <formula1>$B$121:$B$125</formula1>
    </dataValidation>
    <dataValidation type="list" allowBlank="1" showInputMessage="1" showErrorMessage="1" sqref="F22:F23" xr:uid="{1464077B-E286-43FB-AE4E-E4FEE61D7895}">
      <formula1>$B$119:$B$123</formula1>
    </dataValidation>
    <dataValidation type="list" allowBlank="1" showInputMessage="1" showErrorMessage="1" sqref="G86:H87 C18:C23 C59 C25:C28 C40 C49 C43 C52 C55 C46" xr:uid="{C0A13E82-DDC7-4AD7-8152-D347D9AE20BD}">
      <formula1>$Z$1:$Z$2</formula1>
    </dataValidation>
    <dataValidation type="list" allowBlank="1" showInputMessage="1" showErrorMessage="1" sqref="I40:I42" xr:uid="{4331729C-CA5D-40E7-9496-B01B18979F3B}">
      <formula1>$U$1:$U$3</formula1>
    </dataValidation>
    <dataValidation type="decimal" allowBlank="1" showInputMessage="1" showErrorMessage="1" sqref="E69:E81 B79:D79" xr:uid="{3685BF51-9C0E-4A9C-A656-6A5676B35789}">
      <formula1>0</formula1>
      <formula2>999999999</formula2>
    </dataValidation>
    <dataValidation type="decimal" allowBlank="1" showInputMessage="1" showErrorMessage="1" sqref="E25:E29 L40:L57 E18:E23 I18:I23" xr:uid="{27176B29-CCE2-46D7-9861-0DC5E6BF375F}">
      <formula1>0</formula1>
      <formula2>9999999999</formula2>
    </dataValidation>
    <dataValidation type="decimal" allowBlank="1" showInputMessage="1" showErrorMessage="1" sqref="E40:E57" xr:uid="{BF48A770-25B9-4559-A5B8-4AD2B8AD9933}">
      <formula1>0</formula1>
      <formula2>999999999999</formula2>
    </dataValidation>
    <dataValidation type="decimal" allowBlank="1" showInputMessage="1" showErrorMessage="1" sqref="J40:J45 J49:J57" xr:uid="{4520ACD5-49FC-4679-87CA-0373E3338860}">
      <formula1>0</formula1>
      <formula2>999999999999999</formula2>
    </dataValidation>
    <dataValidation type="decimal" allowBlank="1" showInputMessage="1" showErrorMessage="1" sqref="F81 F111:F113" xr:uid="{39B7F22C-6FB5-419F-A9FA-EEFF47926822}">
      <formula1>0</formula1>
      <formula2>99999999999999</formula2>
    </dataValidation>
    <dataValidation type="list" allowBlank="1" showInputMessage="1" showErrorMessage="1" sqref="F19:F20" xr:uid="{72A228F5-31B7-4290-B711-20A877C27174}">
      <formula1>$AE$1:$AE$4</formula1>
    </dataValidation>
    <dataValidation type="list" allowBlank="1" showInputMessage="1" showErrorMessage="1" sqref="G97:I104" xr:uid="{4982C0F5-AA61-4D63-BF90-3E471E28A459}">
      <formula1>$Q$1:$Q$6</formula1>
    </dataValidation>
    <dataValidation type="whole" allowBlank="1" showInputMessage="1" showErrorMessage="1" sqref="E97:E106" xr:uid="{0DED346A-A1C0-428B-BB3C-9DA2D580856F}">
      <formula1>0</formula1>
      <formula2>999999999999999000</formula2>
    </dataValidation>
    <dataValidation type="list" allowBlank="1" showInputMessage="1" showErrorMessage="1" sqref="F40:F45" xr:uid="{0B5E21BC-A95D-490A-8E5D-839D69D2F172}">
      <formula1>$AE$1:$AE$3</formula1>
    </dataValidation>
    <dataValidation type="list" allowBlank="1" showInputMessage="1" showErrorMessage="1" sqref="F46:F54" xr:uid="{625AEBC8-E592-46FB-9516-EFDBBEA92C97}">
      <formula1>$X$1:$X$4</formula1>
    </dataValidation>
    <dataValidation type="list" allowBlank="1" showInputMessage="1" showErrorMessage="1" sqref="F21" xr:uid="{AF0ED5D5-A5B9-4507-B414-3FD4557291D1}">
      <formula1>$B$120:$B$123</formula1>
    </dataValidation>
    <dataValidation type="list" allowBlank="1" showInputMessage="1" showErrorMessage="1" sqref="C80" xr:uid="{63A09888-8C75-41C0-B638-961469FDCE47}">
      <formula1>$E$118:$E$206</formula1>
    </dataValidation>
    <dataValidation type="list" allowBlank="1" showInputMessage="1" showErrorMessage="1" sqref="F25:F29" xr:uid="{370A3DC1-BC6D-49DE-9476-C0069F120F6D}">
      <formula1>$AH$1:$AH$3</formula1>
    </dataValidation>
    <dataValidation type="list" allowBlank="1" showInputMessage="1" showErrorMessage="1" sqref="C69:C78" xr:uid="{5F79C4AC-BACB-46DB-80DE-C7B5F3503305}">
      <formula1>$E$118:$E$209</formula1>
    </dataValidation>
    <dataValidation type="list" allowBlank="1" showInputMessage="1" showErrorMessage="1" sqref="I55:I57" xr:uid="{6DD3837C-841C-4088-B875-E9433ED93518}">
      <formula1>"Average Car"</formula1>
    </dataValidation>
    <dataValidation type="list" allowBlank="1" showInputMessage="1" showErrorMessage="1" sqref="F55:F57" xr:uid="{F0729C81-3024-4E2B-9D24-0A727CCC4C15}">
      <formula1>"Litres,kWh,MWh"</formula1>
    </dataValidation>
    <dataValidation type="list" allowBlank="1" showInputMessage="1" showErrorMessage="1" sqref="I43:I45 I49:I54" xr:uid="{41BCC677-5F20-47E1-9325-B55FAF368D33}">
      <formula1>$U$1:$U$2</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4DF0-CDB5-4E3E-8A02-269777CD4885}">
  <dimension ref="A1:U72"/>
  <sheetViews>
    <sheetView showGridLines="0" showRowColHeaders="0" topLeftCell="A8" zoomScaleNormal="100" workbookViewId="0">
      <selection activeCell="D37" sqref="D37"/>
    </sheetView>
  </sheetViews>
  <sheetFormatPr defaultColWidth="0" defaultRowHeight="14.5" customHeight="1" zeroHeight="1" x14ac:dyDescent="0.35"/>
  <cols>
    <col min="1" max="1" width="3.36328125" customWidth="1"/>
    <col min="2" max="2" width="15.54296875" customWidth="1"/>
    <col min="3" max="3" width="13.7265625" customWidth="1"/>
    <col min="4" max="4" width="20" customWidth="1"/>
    <col min="5" max="5" width="13.81640625" bestFit="1" customWidth="1"/>
    <col min="6" max="6" width="8.81640625" customWidth="1"/>
    <col min="7" max="7" width="23.54296875" customWidth="1"/>
    <col min="8" max="10" width="15.54296875" style="33" customWidth="1"/>
    <col min="11" max="11" width="10.81640625" bestFit="1" customWidth="1"/>
    <col min="12" max="12" width="3.26953125" customWidth="1"/>
    <col min="13" max="16384" width="8.7265625" hidden="1"/>
  </cols>
  <sheetData>
    <row r="1" spans="2:21" ht="20.149999999999999" customHeight="1" x14ac:dyDescent="0.35">
      <c r="B1" s="53"/>
      <c r="C1" s="53"/>
      <c r="Q1" t="s">
        <v>186</v>
      </c>
      <c r="R1" t="s">
        <v>42</v>
      </c>
      <c r="S1" t="s">
        <v>37</v>
      </c>
      <c r="T1" t="s">
        <v>4</v>
      </c>
      <c r="U1" t="s">
        <v>42</v>
      </c>
    </row>
    <row r="2" spans="2:21" ht="20.149999999999999" customHeight="1" x14ac:dyDescent="0.35">
      <c r="B2" s="11"/>
      <c r="C2" s="11"/>
      <c r="D2" s="11"/>
      <c r="E2" s="11"/>
      <c r="F2" s="11"/>
      <c r="G2" s="11"/>
      <c r="H2" s="55"/>
      <c r="I2" s="55"/>
      <c r="J2" s="55"/>
      <c r="K2" s="11"/>
      <c r="Q2" s="42" t="s">
        <v>187</v>
      </c>
      <c r="R2" t="s">
        <v>43</v>
      </c>
      <c r="T2" t="s">
        <v>7</v>
      </c>
      <c r="U2" t="s">
        <v>43</v>
      </c>
    </row>
    <row r="3" spans="2:21" ht="20.149999999999999" customHeight="1" x14ac:dyDescent="0.35">
      <c r="B3" s="32"/>
      <c r="C3" s="32"/>
      <c r="D3" s="32"/>
      <c r="E3" s="32"/>
      <c r="F3" s="32"/>
      <c r="G3" s="32"/>
      <c r="H3" s="56"/>
      <c r="I3" s="56"/>
      <c r="J3" s="56"/>
      <c r="K3" s="32"/>
      <c r="Q3" t="s">
        <v>188</v>
      </c>
      <c r="R3" t="s">
        <v>46</v>
      </c>
      <c r="U3" t="s">
        <v>106</v>
      </c>
    </row>
    <row r="4" spans="2:21" ht="20.149999999999999" customHeight="1" x14ac:dyDescent="0.35">
      <c r="Q4" t="s">
        <v>189</v>
      </c>
      <c r="R4" t="s">
        <v>106</v>
      </c>
    </row>
    <row r="5" spans="2:21" ht="20.149999999999999" customHeight="1" x14ac:dyDescent="0.45">
      <c r="B5" s="1" t="s">
        <v>44</v>
      </c>
      <c r="C5" s="1"/>
      <c r="J5" s="361" t="s">
        <v>45</v>
      </c>
      <c r="K5" s="30">
        <f>Information!F10</f>
        <v>0</v>
      </c>
      <c r="O5" s="42"/>
      <c r="Q5" s="37" t="s">
        <v>190</v>
      </c>
    </row>
    <row r="6" spans="2:21" ht="20.149999999999999" customHeight="1" x14ac:dyDescent="0.45">
      <c r="B6" s="1"/>
      <c r="C6" s="1"/>
      <c r="H6" s="452" t="s">
        <v>47</v>
      </c>
      <c r="I6" s="452"/>
      <c r="J6" s="452"/>
      <c r="K6" s="30">
        <f>Information!F12</f>
        <v>0</v>
      </c>
      <c r="Q6" t="s">
        <v>191</v>
      </c>
    </row>
    <row r="7" spans="2:21" ht="20.149999999999999" customHeight="1" x14ac:dyDescent="0.35">
      <c r="B7" s="26" t="s">
        <v>192</v>
      </c>
      <c r="C7" s="26"/>
      <c r="Q7" t="s">
        <v>193</v>
      </c>
    </row>
    <row r="8" spans="2:21" ht="40" customHeight="1" x14ac:dyDescent="0.35">
      <c r="B8" s="449" t="s">
        <v>194</v>
      </c>
      <c r="C8" s="449"/>
      <c r="D8" s="450"/>
      <c r="E8" s="450"/>
      <c r="F8" s="450"/>
      <c r="G8" s="450"/>
      <c r="H8" s="450"/>
      <c r="I8" s="450"/>
      <c r="J8" s="450"/>
      <c r="K8" s="450"/>
    </row>
    <row r="9" spans="2:21" ht="20.149999999999999" customHeight="1" x14ac:dyDescent="0.35">
      <c r="Q9" t="s">
        <v>195</v>
      </c>
    </row>
    <row r="10" spans="2:21" ht="20.149999999999999" customHeight="1" x14ac:dyDescent="0.35">
      <c r="B10" s="11"/>
      <c r="C10" s="11"/>
      <c r="D10" s="11"/>
      <c r="E10" s="11"/>
      <c r="F10" s="11"/>
      <c r="G10" s="11"/>
      <c r="H10" s="55"/>
      <c r="I10" s="55"/>
      <c r="J10" s="55"/>
      <c r="K10" s="11"/>
      <c r="Q10" t="s">
        <v>196</v>
      </c>
    </row>
    <row r="11" spans="2:21" ht="20.149999999999999" customHeight="1" x14ac:dyDescent="0.35">
      <c r="Q11" t="s">
        <v>197</v>
      </c>
    </row>
    <row r="12" spans="2:21" ht="20.149999999999999" customHeight="1" x14ac:dyDescent="0.45">
      <c r="B12" s="1" t="s">
        <v>198</v>
      </c>
      <c r="C12" s="1"/>
      <c r="Q12" t="s">
        <v>199</v>
      </c>
    </row>
    <row r="13" spans="2:21" ht="20.149999999999999" customHeight="1" x14ac:dyDescent="0.35">
      <c r="B13" s="456" t="s">
        <v>606</v>
      </c>
      <c r="C13" s="456"/>
      <c r="D13" s="456"/>
      <c r="E13" s="456"/>
      <c r="F13" s="456"/>
      <c r="G13" s="456"/>
      <c r="H13" s="456"/>
      <c r="I13" s="456"/>
      <c r="J13" s="456"/>
      <c r="K13" s="456"/>
      <c r="Q13" t="s">
        <v>200</v>
      </c>
    </row>
    <row r="14" spans="2:21" ht="20.149999999999999" customHeight="1" x14ac:dyDescent="0.35">
      <c r="B14" s="456"/>
      <c r="C14" s="456"/>
      <c r="D14" s="456"/>
      <c r="E14" s="456"/>
      <c r="F14" s="456"/>
      <c r="G14" s="456"/>
      <c r="H14" s="456"/>
      <c r="I14" s="456"/>
      <c r="J14" s="456"/>
      <c r="K14" s="456"/>
      <c r="Q14" t="s">
        <v>201</v>
      </c>
    </row>
    <row r="15" spans="2:21" ht="20.149999999999999" customHeight="1" x14ac:dyDescent="0.35">
      <c r="B15" s="9"/>
      <c r="C15" s="9"/>
      <c r="D15" s="9"/>
      <c r="E15" s="9"/>
      <c r="F15" s="9"/>
      <c r="G15" s="43" t="s">
        <v>607</v>
      </c>
      <c r="H15" s="57">
        <f>Information!F12</f>
        <v>0</v>
      </c>
      <c r="I15" s="58"/>
      <c r="J15" s="58"/>
      <c r="K15" s="41" t="s">
        <v>202</v>
      </c>
      <c r="Q15" t="s">
        <v>203</v>
      </c>
    </row>
    <row r="16" spans="2:21" ht="22" customHeight="1" thickBot="1" x14ac:dyDescent="0.4">
      <c r="B16" s="423" t="s">
        <v>204</v>
      </c>
      <c r="C16" s="423"/>
      <c r="D16" t="s">
        <v>350</v>
      </c>
      <c r="H16" s="372"/>
      <c r="I16" s="372"/>
      <c r="J16" s="372"/>
      <c r="K16" s="148" t="s">
        <v>43</v>
      </c>
    </row>
    <row r="17" spans="2:17" ht="45" customHeight="1" thickTop="1" x14ac:dyDescent="0.35">
      <c r="B17" s="423"/>
      <c r="C17" s="423"/>
      <c r="D17" s="453" t="s">
        <v>206</v>
      </c>
      <c r="E17" s="453"/>
      <c r="F17" s="453"/>
      <c r="G17" s="454"/>
      <c r="H17" s="373" t="s">
        <v>7</v>
      </c>
      <c r="I17" s="373" t="s">
        <v>7</v>
      </c>
      <c r="J17" s="373" t="s">
        <v>7</v>
      </c>
      <c r="K17" s="374"/>
      <c r="Q17" t="s">
        <v>212</v>
      </c>
    </row>
    <row r="18" spans="2:17" ht="22" customHeight="1" x14ac:dyDescent="0.35">
      <c r="B18" s="423"/>
      <c r="C18" s="423"/>
      <c r="D18" t="s">
        <v>205</v>
      </c>
      <c r="H18" s="149"/>
      <c r="I18" s="149"/>
      <c r="J18" s="149"/>
      <c r="K18" s="150" t="s">
        <v>43</v>
      </c>
    </row>
    <row r="19" spans="2:17" ht="20.149999999999999" customHeight="1" x14ac:dyDescent="0.35">
      <c r="B19" s="423"/>
      <c r="C19" s="423"/>
      <c r="D19" s="461" t="s">
        <v>207</v>
      </c>
      <c r="E19" s="461"/>
      <c r="F19" s="461"/>
      <c r="G19" s="461"/>
      <c r="H19" s="461"/>
      <c r="I19" s="461"/>
      <c r="J19" s="461"/>
      <c r="K19" s="461"/>
      <c r="Q19" t="s">
        <v>208</v>
      </c>
    </row>
    <row r="20" spans="2:17" s="72" customFormat="1" ht="27" customHeight="1" x14ac:dyDescent="0.35">
      <c r="B20" s="423"/>
      <c r="C20" s="423"/>
      <c r="D20" s="459" t="s">
        <v>209</v>
      </c>
      <c r="E20" s="459"/>
      <c r="F20" s="459"/>
      <c r="G20" s="460"/>
      <c r="H20" s="375"/>
      <c r="I20" s="375"/>
      <c r="J20" s="375"/>
      <c r="K20" s="136" t="s">
        <v>37</v>
      </c>
      <c r="Q20" s="72" t="s">
        <v>210</v>
      </c>
    </row>
    <row r="21" spans="2:17" s="72" customFormat="1" ht="27" customHeight="1" x14ac:dyDescent="0.35">
      <c r="B21" s="423"/>
      <c r="C21" s="423"/>
      <c r="D21" s="459" t="s">
        <v>211</v>
      </c>
      <c r="E21" s="459"/>
      <c r="F21" s="459"/>
      <c r="G21" s="460"/>
      <c r="H21" s="375"/>
      <c r="I21" s="375"/>
      <c r="J21" s="375"/>
      <c r="K21" s="136" t="s">
        <v>37</v>
      </c>
      <c r="Q21" s="72" t="s">
        <v>3</v>
      </c>
    </row>
    <row r="22" spans="2:17" ht="20.149999999999999" customHeight="1" x14ac:dyDescent="0.35">
      <c r="B22" s="51"/>
      <c r="C22" s="51"/>
      <c r="D22" s="51"/>
      <c r="E22" s="51"/>
      <c r="F22" s="51"/>
      <c r="G22" s="51"/>
      <c r="H22" s="51"/>
      <c r="I22" s="51"/>
      <c r="J22" s="51"/>
      <c r="K22" s="51"/>
      <c r="Q22" t="s">
        <v>6</v>
      </c>
    </row>
    <row r="23" spans="2:17" ht="20.149999999999999" customHeight="1" x14ac:dyDescent="0.35">
      <c r="B23" s="52" t="s">
        <v>351</v>
      </c>
      <c r="C23" s="52"/>
      <c r="F23" s="5"/>
      <c r="Q23" t="s">
        <v>9</v>
      </c>
    </row>
    <row r="24" spans="2:17" ht="20.149999999999999" customHeight="1" x14ac:dyDescent="0.35">
      <c r="B24" s="27"/>
      <c r="C24" s="27"/>
      <c r="D24" s="27"/>
      <c r="E24" s="11"/>
      <c r="F24" s="28"/>
      <c r="G24" s="11"/>
      <c r="H24" s="55"/>
      <c r="I24" s="55"/>
      <c r="J24" s="55"/>
      <c r="K24" s="11"/>
    </row>
    <row r="25" spans="2:17" ht="20.149999999999999" customHeight="1" x14ac:dyDescent="0.35"/>
    <row r="26" spans="2:17" ht="20.149999999999999" customHeight="1" x14ac:dyDescent="0.45">
      <c r="B26" s="1" t="s">
        <v>213</v>
      </c>
      <c r="C26" s="1"/>
    </row>
    <row r="27" spans="2:17" ht="20.149999999999999" customHeight="1" x14ac:dyDescent="0.35">
      <c r="B27" s="456" t="s">
        <v>214</v>
      </c>
      <c r="C27" s="456"/>
      <c r="D27" s="456"/>
      <c r="E27" s="456"/>
      <c r="F27" s="456"/>
      <c r="G27" s="456"/>
      <c r="H27" s="456"/>
      <c r="I27" s="456"/>
      <c r="J27" s="456"/>
      <c r="K27" s="456"/>
    </row>
    <row r="28" spans="2:17" ht="20.149999999999999" customHeight="1" x14ac:dyDescent="0.35">
      <c r="B28" s="456"/>
      <c r="C28" s="456"/>
      <c r="D28" s="456"/>
      <c r="E28" s="456"/>
      <c r="F28" s="456"/>
      <c r="G28" s="456"/>
      <c r="H28" s="456"/>
      <c r="I28" s="456"/>
      <c r="J28" s="456"/>
      <c r="K28" s="456"/>
    </row>
    <row r="29" spans="2:17" ht="20.149999999999999" customHeight="1" x14ac:dyDescent="0.35">
      <c r="B29" s="456"/>
      <c r="C29" s="456"/>
      <c r="D29" s="456"/>
      <c r="E29" s="456"/>
      <c r="F29" s="456"/>
      <c r="G29" s="456"/>
      <c r="H29" s="456"/>
      <c r="I29" s="456"/>
      <c r="J29" s="456"/>
      <c r="K29" s="456"/>
    </row>
    <row r="30" spans="2:17" ht="20.149999999999999" customHeight="1" x14ac:dyDescent="0.35">
      <c r="B30" s="3"/>
      <c r="C30" s="3"/>
      <c r="D30" s="3"/>
      <c r="E30" s="3"/>
      <c r="F30" s="3"/>
      <c r="G30" s="3"/>
      <c r="H30" s="59"/>
      <c r="I30" s="59"/>
      <c r="J30" s="59"/>
      <c r="K30" s="3"/>
    </row>
    <row r="31" spans="2:17" ht="20.149999999999999" customHeight="1" x14ac:dyDescent="0.35">
      <c r="F31" s="407" t="s">
        <v>52</v>
      </c>
      <c r="G31" s="407"/>
      <c r="H31" s="457" t="s">
        <v>53</v>
      </c>
      <c r="I31" s="458"/>
    </row>
    <row r="32" spans="2:17" ht="20.149999999999999" customHeight="1" x14ac:dyDescent="0.35">
      <c r="B32" s="30" t="s">
        <v>215</v>
      </c>
      <c r="C32" s="30" t="s">
        <v>363</v>
      </c>
      <c r="D32" s="30" t="s">
        <v>56</v>
      </c>
      <c r="E32" s="30" t="s">
        <v>57</v>
      </c>
      <c r="F32" s="407"/>
      <c r="G32" s="407"/>
      <c r="H32" s="350" t="s">
        <v>58</v>
      </c>
      <c r="I32" s="351" t="s">
        <v>57</v>
      </c>
      <c r="M32" s="33"/>
    </row>
    <row r="33" spans="2:13" ht="20.149999999999999" customHeight="1" x14ac:dyDescent="0.35">
      <c r="B33" s="352" t="s">
        <v>216</v>
      </c>
      <c r="C33" s="369" t="s">
        <v>7</v>
      </c>
      <c r="D33" s="249"/>
      <c r="E33" s="355" t="s">
        <v>43</v>
      </c>
      <c r="F33" s="407"/>
      <c r="G33" s="407"/>
      <c r="H33" s="359"/>
      <c r="I33" s="360" t="s">
        <v>1390</v>
      </c>
      <c r="M33" s="33"/>
    </row>
    <row r="34" spans="2:13" ht="20.149999999999999" customHeight="1" x14ac:dyDescent="0.35">
      <c r="B34" s="353" t="s">
        <v>217</v>
      </c>
      <c r="C34" s="370" t="s">
        <v>7</v>
      </c>
      <c r="D34" s="253"/>
      <c r="E34" s="356" t="s">
        <v>43</v>
      </c>
      <c r="F34" s="407"/>
      <c r="G34" s="407"/>
      <c r="H34" s="462" t="s">
        <v>64</v>
      </c>
      <c r="I34" s="463"/>
      <c r="M34" s="33"/>
    </row>
    <row r="35" spans="2:13" ht="20.149999999999999" customHeight="1" x14ac:dyDescent="0.35">
      <c r="B35" s="354" t="s">
        <v>218</v>
      </c>
      <c r="C35" s="371" t="s">
        <v>7</v>
      </c>
      <c r="D35" s="357"/>
      <c r="E35" s="358" t="s">
        <v>43</v>
      </c>
      <c r="F35" s="407"/>
      <c r="G35" s="407"/>
      <c r="H35" s="462" t="s">
        <v>64</v>
      </c>
      <c r="I35" s="463"/>
      <c r="M35" s="33"/>
    </row>
    <row r="36" spans="2:13" ht="20.149999999999999" customHeight="1" x14ac:dyDescent="0.35">
      <c r="B36" s="4"/>
      <c r="C36" s="4"/>
      <c r="D36" s="4"/>
      <c r="F36" s="4"/>
      <c r="G36" s="4"/>
      <c r="H36" s="60"/>
      <c r="I36" s="60"/>
    </row>
    <row r="37" spans="2:13" ht="20.149999999999999" customHeight="1" x14ac:dyDescent="0.35"/>
    <row r="38" spans="2:13" ht="20.149999999999999" customHeight="1" x14ac:dyDescent="0.35">
      <c r="B38" s="11"/>
      <c r="C38" s="11"/>
      <c r="D38" s="11"/>
      <c r="E38" s="11"/>
      <c r="F38" s="11"/>
      <c r="G38" s="11"/>
      <c r="H38" s="55"/>
      <c r="I38" s="55"/>
      <c r="J38" s="55"/>
      <c r="K38" s="11"/>
    </row>
    <row r="39" spans="2:13" ht="20.149999999999999" customHeight="1" x14ac:dyDescent="0.35"/>
    <row r="40" spans="2:13" ht="20.149999999999999" hidden="1" customHeight="1" x14ac:dyDescent="0.35"/>
    <row r="41" spans="2:13" ht="20.149999999999999" hidden="1" customHeight="1" x14ac:dyDescent="0.35">
      <c r="J41" s="455"/>
      <c r="K41" s="455"/>
      <c r="L41" s="33"/>
    </row>
    <row r="42" spans="2:13" ht="20.149999999999999" hidden="1" customHeight="1" x14ac:dyDescent="0.35"/>
    <row r="43" spans="2:13" ht="20.149999999999999" hidden="1" customHeight="1" x14ac:dyDescent="0.35">
      <c r="B43" s="12"/>
      <c r="C43" s="12"/>
      <c r="D43" s="12"/>
      <c r="E43" s="12"/>
      <c r="F43" s="12"/>
      <c r="G43" s="12"/>
      <c r="H43" s="61"/>
      <c r="I43" s="61"/>
      <c r="J43" s="61"/>
      <c r="K43" s="12"/>
    </row>
    <row r="44" spans="2:13" ht="20.149999999999999" hidden="1" customHeight="1" x14ac:dyDescent="0.35">
      <c r="B44" s="11"/>
      <c r="C44" s="11"/>
      <c r="D44" s="11"/>
      <c r="E44" s="11"/>
      <c r="F44" s="11"/>
      <c r="G44" s="11"/>
      <c r="H44" s="55"/>
      <c r="I44" s="55"/>
      <c r="J44" s="55"/>
      <c r="K44" s="11"/>
    </row>
    <row r="45" spans="2:13" ht="20.149999999999999" hidden="1" customHeight="1" x14ac:dyDescent="0.35"/>
    <row r="46" spans="2:13" ht="20.149999999999999" hidden="1" customHeight="1" x14ac:dyDescent="0.35"/>
    <row r="47" spans="2:13" ht="20.149999999999999" hidden="1" customHeight="1" x14ac:dyDescent="0.35"/>
    <row r="48" spans="2:13" ht="20.149999999999999" hidden="1" customHeight="1" x14ac:dyDescent="0.35">
      <c r="D48" t="b">
        <v>0</v>
      </c>
    </row>
    <row r="49" spans="2:4" ht="20.149999999999999" hidden="1" customHeight="1" x14ac:dyDescent="0.35"/>
    <row r="50" spans="2:4" ht="20.149999999999999" hidden="1" customHeight="1" x14ac:dyDescent="0.35"/>
    <row r="51" spans="2:4" ht="20.149999999999999" hidden="1" customHeight="1" x14ac:dyDescent="0.35">
      <c r="B51" t="s">
        <v>219</v>
      </c>
    </row>
    <row r="52" spans="2:4" ht="20.149999999999999" hidden="1" customHeight="1" x14ac:dyDescent="0.35">
      <c r="B52" t="s">
        <v>220</v>
      </c>
    </row>
    <row r="53" spans="2:4" ht="20.149999999999999" hidden="1" customHeight="1" x14ac:dyDescent="0.35">
      <c r="D53" t="b">
        <v>0</v>
      </c>
    </row>
    <row r="54" spans="2:4" ht="20.149999999999999" hidden="1" customHeight="1" x14ac:dyDescent="0.35">
      <c r="B54" t="s">
        <v>221</v>
      </c>
    </row>
    <row r="55" spans="2:4" ht="20.149999999999999" hidden="1" customHeight="1" x14ac:dyDescent="0.35">
      <c r="B55" t="s">
        <v>222</v>
      </c>
    </row>
    <row r="56" spans="2:4" ht="20.149999999999999" hidden="1" customHeight="1" x14ac:dyDescent="0.35">
      <c r="B56" t="s">
        <v>218</v>
      </c>
    </row>
    <row r="57" spans="2:4" ht="20.149999999999999" hidden="1" customHeight="1" x14ac:dyDescent="0.35"/>
    <row r="58" spans="2:4" ht="20.149999999999999" hidden="1" customHeight="1" x14ac:dyDescent="0.35"/>
    <row r="59" spans="2:4" ht="20.149999999999999" hidden="1" customHeight="1" x14ac:dyDescent="0.35"/>
    <row r="60" spans="2:4" ht="20.149999999999999" hidden="1" customHeight="1" x14ac:dyDescent="0.35"/>
    <row r="61" spans="2:4" ht="20.149999999999999" hidden="1" customHeight="1" x14ac:dyDescent="0.35"/>
    <row r="62" spans="2:4" ht="20.149999999999999" hidden="1" customHeight="1" x14ac:dyDescent="0.35"/>
    <row r="63" spans="2:4" ht="20.149999999999999" hidden="1" customHeight="1" x14ac:dyDescent="0.35"/>
    <row r="64" spans="2:4" ht="20.149999999999999" hidden="1" customHeight="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sheetData>
  <sheetProtection algorithmName="SHA-512" hashValue="ozHJjfhuBIfgi034020Fy4cSMQgzfBM/vQnUoq+ZIbhyiZXuHGgj5snvCnflWU8RGtpGGwfPDBMDsPlXghSCrQ==" saltValue="lo7uMFjlDJcX/YJvdBlw6Q==" spinCount="100000" sheet="1" formatCells="0" formatColumns="0" formatRows="0"/>
  <protectedRanges>
    <protectedRange sqref="H18:K18 H17:J17 H16:K16 H20:K21 C33:E35 H33" name="Range3"/>
    <protectedRange sqref="H20:K21 H16:K18" name="Range2"/>
  </protectedRanges>
  <mergeCells count="14">
    <mergeCell ref="H6:J6"/>
    <mergeCell ref="D17:G17"/>
    <mergeCell ref="B16:C21"/>
    <mergeCell ref="B8:K8"/>
    <mergeCell ref="J41:K41"/>
    <mergeCell ref="B13:K14"/>
    <mergeCell ref="B27:K29"/>
    <mergeCell ref="H31:I31"/>
    <mergeCell ref="D20:G20"/>
    <mergeCell ref="D21:G21"/>
    <mergeCell ref="D19:K19"/>
    <mergeCell ref="F31:G35"/>
    <mergeCell ref="H34:I34"/>
    <mergeCell ref="H35:I35"/>
  </mergeCells>
  <phoneticPr fontId="14" type="noConversion"/>
  <conditionalFormatting sqref="D33:E33">
    <cfRule type="expression" dxfId="12" priority="13">
      <formula>$C$33="NO"</formula>
    </cfRule>
  </conditionalFormatting>
  <conditionalFormatting sqref="D34:E34">
    <cfRule type="expression" dxfId="11" priority="12">
      <formula>$C$34="NO"</formula>
    </cfRule>
  </conditionalFormatting>
  <conditionalFormatting sqref="D35:E35">
    <cfRule type="expression" dxfId="10" priority="11">
      <formula>$C$35="NO"</formula>
    </cfRule>
  </conditionalFormatting>
  <conditionalFormatting sqref="H18">
    <cfRule type="expression" dxfId="9" priority="9">
      <formula>$H$17="YES"</formula>
    </cfRule>
  </conditionalFormatting>
  <conditionalFormatting sqref="H33:I33">
    <cfRule type="expression" dxfId="8" priority="5">
      <formula>$C$33="NO"</formula>
    </cfRule>
  </conditionalFormatting>
  <conditionalFormatting sqref="H34:I34">
    <cfRule type="expression" dxfId="7" priority="2">
      <formula>$C$34="NO"</formula>
    </cfRule>
  </conditionalFormatting>
  <conditionalFormatting sqref="H35:I35">
    <cfRule type="expression" dxfId="6" priority="1">
      <formula>$C$35="NO"</formula>
    </cfRule>
  </conditionalFormatting>
  <conditionalFormatting sqref="I18">
    <cfRule type="expression" dxfId="5" priority="8">
      <formula>$I$17="YES"</formula>
    </cfRule>
  </conditionalFormatting>
  <conditionalFormatting sqref="J18">
    <cfRule type="expression" dxfId="4" priority="7">
      <formula>$J$17="YES"</formula>
    </cfRule>
  </conditionalFormatting>
  <conditionalFormatting sqref="K18">
    <cfRule type="expression" dxfId="3" priority="6">
      <formula>IF($H$17="YES",1,0)+IF($I$17="YES",1,0)+IF($J$17="YES",1,0)&gt;0.5</formula>
    </cfRule>
  </conditionalFormatting>
  <dataValidations count="10">
    <dataValidation type="list" allowBlank="1" showInputMessage="1" showErrorMessage="1" sqref="K22" xr:uid="{E51DCFF2-5BD9-4312-9B0C-74D06EE3170B}">
      <formula1>$S$1:$S$2</formula1>
    </dataValidation>
    <dataValidation type="list" allowBlank="1" showInputMessage="1" showErrorMessage="1" sqref="K18 K16" xr:uid="{A919508A-5A0A-421A-A511-8D6F6C55DB53}">
      <formula1>$R$1:$R$4</formula1>
    </dataValidation>
    <dataValidation type="list" allowBlank="1" showInputMessage="1" showErrorMessage="1" sqref="H17:J17" xr:uid="{33F62ED3-B1B6-4A1D-82B8-4ED8B4CB5700}">
      <formula1>$T$1:$T$2</formula1>
    </dataValidation>
    <dataValidation type="decimal" allowBlank="1" showInputMessage="1" showErrorMessage="1" sqref="H20:J22" xr:uid="{ED3B4BAE-01FF-4F8E-BA05-3C74B2DF6F56}">
      <formula1>0</formula1>
      <formula2>99999999</formula2>
    </dataValidation>
    <dataValidation type="decimal" allowBlank="1" showInputMessage="1" showErrorMessage="1" sqref="H16:J16 H18:J18" xr:uid="{289999CC-C423-402C-AD5C-497109F15EBE}">
      <formula1>0</formula1>
      <formula2>9999999999</formula2>
    </dataValidation>
    <dataValidation type="decimal" allowBlank="1" showInputMessage="1" showErrorMessage="1" sqref="H33:H35" xr:uid="{8BBA270E-ECA6-4962-9606-2B6C7D27B963}">
      <formula1>0</formula1>
      <formula2>999999999</formula2>
    </dataValidation>
    <dataValidation type="list" allowBlank="1" showInputMessage="1" showErrorMessage="1" sqref="E33:E35" xr:uid="{42805549-517C-4481-BEE5-D3F24C6A7E3B}">
      <formula1>$U$1:$U$3</formula1>
    </dataValidation>
    <dataValidation type="decimal" allowBlank="1" showInputMessage="1" showErrorMessage="1" sqref="D33:D35" xr:uid="{3ABAC95E-463E-499F-8B95-CE97348E270C}">
      <formula1>0</formula1>
      <formula2>999999999999999</formula2>
    </dataValidation>
    <dataValidation type="list" allowBlank="1" showInputMessage="1" showErrorMessage="1" sqref="C33:C35" xr:uid="{A3ACF17A-B451-40E7-868F-85D4F6E8ACEA}">
      <formula1>"YES,NO"</formula1>
    </dataValidation>
    <dataValidation type="list" allowBlank="1" showInputMessage="1" showErrorMessage="1" sqref="I15:J15" xr:uid="{9F7E6E6B-F875-4253-BB47-699D7563B6B4}">
      <formula1>$Q$21:$Q$23</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BFE68-B843-4D97-8212-E3D3C538077C}">
  <dimension ref="B1:Q62"/>
  <sheetViews>
    <sheetView showGridLines="0" showRowColHeaders="0" zoomScale="90" zoomScaleNormal="90" workbookViewId="0">
      <selection activeCell="F29" sqref="F29"/>
    </sheetView>
  </sheetViews>
  <sheetFormatPr defaultColWidth="0" defaultRowHeight="14.5" zeroHeight="1" x14ac:dyDescent="0.35"/>
  <cols>
    <col min="1" max="1" width="3.36328125" customWidth="1"/>
    <col min="2" max="2" width="12.81640625" customWidth="1"/>
    <col min="3" max="3" width="11.26953125" customWidth="1"/>
    <col min="4" max="4" width="8.54296875" customWidth="1"/>
    <col min="5" max="5" width="14.54296875" customWidth="1"/>
    <col min="6" max="6" width="11.1796875" customWidth="1"/>
    <col min="7" max="7" width="8.7265625" customWidth="1"/>
    <col min="8" max="8" width="13.1796875" customWidth="1"/>
    <col min="9" max="9" width="10.54296875" customWidth="1"/>
    <col min="10" max="10" width="8.54296875" customWidth="1"/>
    <col min="11" max="11" width="15" customWidth="1"/>
    <col min="12" max="12" width="8.7265625" customWidth="1"/>
    <col min="13" max="13" width="6.7265625" customWidth="1"/>
    <col min="14" max="14" width="0" hidden="1" customWidth="1"/>
  </cols>
  <sheetData>
    <row r="1" spans="2:17" x14ac:dyDescent="0.35"/>
    <row r="2" spans="2:17" x14ac:dyDescent="0.35">
      <c r="B2" s="11"/>
      <c r="C2" s="11"/>
      <c r="D2" s="11"/>
      <c r="E2" s="11"/>
      <c r="F2" s="11"/>
      <c r="G2" s="11"/>
      <c r="H2" s="11"/>
      <c r="I2" s="11"/>
      <c r="J2" s="11"/>
      <c r="K2" s="11"/>
      <c r="L2" s="11"/>
    </row>
    <row r="3" spans="2:17" ht="4" customHeight="1" x14ac:dyDescent="0.35">
      <c r="B3" s="12"/>
      <c r="C3" s="12"/>
      <c r="D3" s="12"/>
      <c r="E3" s="12"/>
      <c r="F3" s="12"/>
      <c r="G3" s="12"/>
      <c r="H3" s="12"/>
      <c r="I3" s="12"/>
      <c r="J3" s="12"/>
      <c r="K3" s="12"/>
      <c r="L3" s="12"/>
    </row>
    <row r="4" spans="2:17" ht="15.5" x14ac:dyDescent="0.35">
      <c r="B4" s="499" t="s">
        <v>604</v>
      </c>
      <c r="C4" s="499"/>
      <c r="D4" s="499" t="str">
        <f>IF(Information!F8&lt;1,"-",Information!F8)</f>
        <v>-</v>
      </c>
      <c r="E4" s="499"/>
      <c r="F4" s="499"/>
      <c r="G4" s="499" t="s">
        <v>605</v>
      </c>
      <c r="H4" s="499"/>
      <c r="I4" s="499"/>
      <c r="J4" s="499"/>
      <c r="K4" s="499" t="str">
        <f>IF(Information!F10&lt;1,"-",Information!F10)</f>
        <v>-</v>
      </c>
      <c r="L4" s="499"/>
    </row>
    <row r="5" spans="2:17" x14ac:dyDescent="0.35"/>
    <row r="6" spans="2:17" x14ac:dyDescent="0.35">
      <c r="B6" s="2" t="s">
        <v>223</v>
      </c>
      <c r="E6" s="2" t="s">
        <v>224</v>
      </c>
      <c r="H6" s="2" t="s">
        <v>225</v>
      </c>
      <c r="K6" s="2" t="s">
        <v>226</v>
      </c>
    </row>
    <row r="7" spans="2:17" ht="6" customHeight="1" x14ac:dyDescent="0.35"/>
    <row r="8" spans="2:17" ht="21" x14ac:dyDescent="0.35">
      <c r="B8" s="503">
        <f>SUM(E16,E22,E28)</f>
        <v>0</v>
      </c>
      <c r="C8" s="503"/>
      <c r="D8" s="255"/>
      <c r="E8" s="503">
        <f>E16</f>
        <v>0</v>
      </c>
      <c r="F8" s="503"/>
      <c r="G8" s="256"/>
      <c r="H8" s="503">
        <f>E22</f>
        <v>0</v>
      </c>
      <c r="I8" s="503"/>
      <c r="J8" s="255"/>
      <c r="K8" s="503" t="str">
        <f>IF(E28=0,"Not calculated",E28)</f>
        <v>Not calculated</v>
      </c>
      <c r="L8" s="503"/>
    </row>
    <row r="9" spans="2:17" ht="16.5" x14ac:dyDescent="0.35">
      <c r="B9" s="504" t="s">
        <v>227</v>
      </c>
      <c r="C9" s="504"/>
      <c r="E9" s="504" t="s">
        <v>227</v>
      </c>
      <c r="F9" s="504"/>
      <c r="H9" s="504" t="s">
        <v>227</v>
      </c>
      <c r="I9" s="504"/>
      <c r="K9" s="504" t="s">
        <v>227</v>
      </c>
      <c r="L9" s="504"/>
    </row>
    <row r="10" spans="2:17" ht="15" thickBot="1" x14ac:dyDescent="0.4">
      <c r="N10" t="s">
        <v>228</v>
      </c>
      <c r="Q10" t="s">
        <v>229</v>
      </c>
    </row>
    <row r="11" spans="2:17" ht="20.149999999999999" customHeight="1" x14ac:dyDescent="0.35">
      <c r="B11" s="488" t="s">
        <v>1412</v>
      </c>
      <c r="C11" s="489"/>
      <c r="D11" s="261"/>
      <c r="E11" s="485">
        <f>B8/0.007</f>
        <v>0</v>
      </c>
      <c r="F11" s="485"/>
      <c r="G11" s="262"/>
      <c r="H11" s="505">
        <f>B8/0.00012</f>
        <v>0</v>
      </c>
      <c r="I11" s="505"/>
      <c r="J11" s="263"/>
      <c r="K11" s="486">
        <f>H11/40076</f>
        <v>0</v>
      </c>
      <c r="L11" s="487"/>
      <c r="N11">
        <v>120</v>
      </c>
      <c r="O11" t="s">
        <v>230</v>
      </c>
      <c r="Q11" t="s">
        <v>231</v>
      </c>
    </row>
    <row r="12" spans="2:17" ht="14.5" customHeight="1" x14ac:dyDescent="0.35">
      <c r="B12" s="490"/>
      <c r="C12" s="491"/>
      <c r="E12" s="473" t="s">
        <v>232</v>
      </c>
      <c r="F12" s="473"/>
      <c r="H12" s="473" t="s">
        <v>1413</v>
      </c>
      <c r="I12" s="495"/>
      <c r="J12" s="50"/>
      <c r="K12" s="473" t="s">
        <v>234</v>
      </c>
      <c r="L12" s="497"/>
      <c r="N12" t="s">
        <v>233</v>
      </c>
    </row>
    <row r="13" spans="2:17" x14ac:dyDescent="0.35">
      <c r="B13" s="490"/>
      <c r="C13" s="491"/>
      <c r="E13" s="473"/>
      <c r="F13" s="473"/>
      <c r="G13" s="260"/>
      <c r="H13" s="495"/>
      <c r="I13" s="495"/>
      <c r="K13" s="473"/>
      <c r="L13" s="497"/>
    </row>
    <row r="14" spans="2:17" ht="15" thickBot="1" x14ac:dyDescent="0.4">
      <c r="B14" s="492"/>
      <c r="C14" s="493"/>
      <c r="D14" s="264"/>
      <c r="E14" s="494"/>
      <c r="F14" s="494"/>
      <c r="G14" s="264"/>
      <c r="H14" s="496"/>
      <c r="I14" s="496"/>
      <c r="J14" s="264"/>
      <c r="K14" s="494"/>
      <c r="L14" s="498"/>
    </row>
    <row r="15" spans="2:17" x14ac:dyDescent="0.35"/>
    <row r="16" spans="2:17" ht="20.149999999999999" customHeight="1" x14ac:dyDescent="0.35">
      <c r="B16" s="10" t="s">
        <v>235</v>
      </c>
      <c r="C16" s="72"/>
      <c r="D16" s="72"/>
      <c r="E16" s="273">
        <f>Calculations!AD3</f>
        <v>0</v>
      </c>
      <c r="F16" s="266" t="s">
        <v>243</v>
      </c>
      <c r="G16" s="269" t="s">
        <v>1385</v>
      </c>
      <c r="H16" s="269" t="s">
        <v>1386</v>
      </c>
    </row>
    <row r="17" spans="2:12" ht="20.149999999999999" customHeight="1" x14ac:dyDescent="0.35">
      <c r="B17" s="286" t="s">
        <v>236</v>
      </c>
      <c r="C17" s="286"/>
      <c r="D17" s="286"/>
      <c r="E17" s="274">
        <f>Calculations!AD4</f>
        <v>0</v>
      </c>
      <c r="F17" s="275" t="s">
        <v>1415</v>
      </c>
      <c r="G17" s="270">
        <f>IFERROR(E17/$E$16, 0)</f>
        <v>0</v>
      </c>
      <c r="H17" s="276">
        <f>Calculations!AE4</f>
        <v>0</v>
      </c>
      <c r="J17" s="466" t="s">
        <v>1422</v>
      </c>
      <c r="K17" s="467"/>
      <c r="L17" s="468"/>
    </row>
    <row r="18" spans="2:12" ht="20.149999999999999" customHeight="1" x14ac:dyDescent="0.35">
      <c r="B18" s="72" t="s">
        <v>237</v>
      </c>
      <c r="C18" s="72"/>
      <c r="D18" s="72"/>
      <c r="E18" s="277">
        <f>Calculations!AD17</f>
        <v>0</v>
      </c>
      <c r="F18" s="278" t="s">
        <v>1415</v>
      </c>
      <c r="G18" s="272">
        <f>IFERROR(E18/$E$16, 0)</f>
        <v>0</v>
      </c>
      <c r="H18" s="279">
        <f>Calculations!AE17</f>
        <v>0</v>
      </c>
      <c r="J18" s="469"/>
      <c r="K18" s="470"/>
      <c r="L18" s="471"/>
    </row>
    <row r="19" spans="2:12" ht="20.149999999999999" customHeight="1" x14ac:dyDescent="0.35">
      <c r="B19" s="72" t="s">
        <v>238</v>
      </c>
      <c r="C19" s="72"/>
      <c r="D19" s="72"/>
      <c r="E19" s="277">
        <f>Calculations!AD37+Calculations!AD48</f>
        <v>0</v>
      </c>
      <c r="F19" s="278" t="s">
        <v>1415</v>
      </c>
      <c r="G19" s="272">
        <f>IFERROR(E19/$E$16, 0)</f>
        <v>0</v>
      </c>
      <c r="H19" s="279">
        <f>(Calculations!AE37+Calculations!AE48)/2</f>
        <v>0</v>
      </c>
      <c r="J19" s="472" t="s">
        <v>239</v>
      </c>
      <c r="K19" s="473"/>
      <c r="L19" s="474"/>
    </row>
    <row r="20" spans="2:12" ht="20.149999999999999" customHeight="1" x14ac:dyDescent="0.35">
      <c r="B20" s="281" t="s">
        <v>506</v>
      </c>
      <c r="C20" s="281"/>
      <c r="D20" s="281"/>
      <c r="E20" s="282">
        <f>Calculations!AD50</f>
        <v>0</v>
      </c>
      <c r="F20" s="281" t="s">
        <v>1417</v>
      </c>
      <c r="G20" s="283">
        <f>IFERROR(E20/$E$16, 0)</f>
        <v>0</v>
      </c>
      <c r="H20" s="284">
        <f>Calculations!AE50</f>
        <v>0</v>
      </c>
      <c r="J20" s="475">
        <f>Calculations!AE90</f>
        <v>0</v>
      </c>
      <c r="K20" s="476"/>
      <c r="L20" s="477"/>
    </row>
    <row r="21" spans="2:12" ht="20.149999999999999" customHeight="1" x14ac:dyDescent="0.35">
      <c r="B21" s="72"/>
      <c r="C21" s="72"/>
      <c r="D21" s="72"/>
      <c r="E21" s="277"/>
      <c r="F21" s="278"/>
      <c r="G21" s="267"/>
      <c r="H21" s="280"/>
      <c r="J21" s="478" t="s">
        <v>1421</v>
      </c>
      <c r="K21" s="479"/>
      <c r="L21" s="480"/>
    </row>
    <row r="22" spans="2:12" ht="20.149999999999999" customHeight="1" x14ac:dyDescent="0.35">
      <c r="B22" s="10" t="s">
        <v>240</v>
      </c>
      <c r="C22" s="72"/>
      <c r="D22" s="72"/>
      <c r="E22" s="273">
        <f>Calculations!AD77</f>
        <v>0</v>
      </c>
      <c r="F22" s="266" t="s">
        <v>243</v>
      </c>
      <c r="G22" s="268" t="s">
        <v>1385</v>
      </c>
      <c r="H22" s="269" t="s">
        <v>1386</v>
      </c>
      <c r="J22" s="481">
        <f>IFERROR(1-J20,"Waiting for input")</f>
        <v>1</v>
      </c>
      <c r="K22" s="482"/>
      <c r="L22" s="483"/>
    </row>
    <row r="23" spans="2:12" ht="20.149999999999999" customHeight="1" x14ac:dyDescent="0.35">
      <c r="B23" s="286" t="s">
        <v>241</v>
      </c>
      <c r="C23" s="286"/>
      <c r="D23" s="286"/>
      <c r="E23" s="274">
        <f>Calculations!AD78</f>
        <v>0</v>
      </c>
      <c r="F23" s="275" t="s">
        <v>1415</v>
      </c>
      <c r="G23" s="270">
        <f>IFERROR(E23/$E$22,0)</f>
        <v>0</v>
      </c>
      <c r="H23" s="276">
        <f>Calculations!AE78</f>
        <v>0</v>
      </c>
      <c r="K23" s="265"/>
      <c r="L23" s="265"/>
    </row>
    <row r="24" spans="2:12" ht="20.149999999999999" customHeight="1" x14ac:dyDescent="0.35">
      <c r="B24" s="72" t="s">
        <v>242</v>
      </c>
      <c r="C24" s="72"/>
      <c r="D24" s="72"/>
      <c r="E24" s="277">
        <f>Calculations!AD86</f>
        <v>0</v>
      </c>
      <c r="F24" s="278" t="s">
        <v>1415</v>
      </c>
      <c r="G24" s="271">
        <f>IFERROR(E24/$E$22,0)</f>
        <v>0</v>
      </c>
      <c r="H24" s="279">
        <f>Calculations!AE86</f>
        <v>0</v>
      </c>
    </row>
    <row r="25" spans="2:12" ht="20.149999999999999" customHeight="1" x14ac:dyDescent="0.35">
      <c r="B25" s="281" t="s">
        <v>1416</v>
      </c>
      <c r="C25" s="281"/>
      <c r="D25" s="281"/>
      <c r="E25" s="484" t="str">
        <f>IF(OR('Scope 2'!H17="YES",'Scope 2'!I17="YES",'Scope 2'!J17="YES"),"PPA or guarantees of origin available","No RES certificates/PPA available")</f>
        <v>No RES certificates/PPA available</v>
      </c>
      <c r="F25" s="484"/>
      <c r="G25" s="484"/>
      <c r="H25" s="484"/>
    </row>
    <row r="26" spans="2:12" ht="20.149999999999999" customHeight="1" x14ac:dyDescent="0.35">
      <c r="G26" s="7"/>
      <c r="H26" s="40"/>
    </row>
    <row r="27" spans="2:12" ht="20.149999999999999" customHeight="1" x14ac:dyDescent="0.35">
      <c r="B27" s="10" t="s">
        <v>1418</v>
      </c>
      <c r="G27" s="7"/>
      <c r="H27" s="40"/>
    </row>
    <row r="28" spans="2:12" ht="20.149999999999999" customHeight="1" x14ac:dyDescent="0.45">
      <c r="B28" s="502" t="s">
        <v>1420</v>
      </c>
      <c r="C28" s="502"/>
      <c r="D28" s="502"/>
      <c r="E28" s="364">
        <f>IF(Information!F17="NO",0,Information!F21)</f>
        <v>0</v>
      </c>
      <c r="F28" s="366" t="s">
        <v>243</v>
      </c>
      <c r="G28" s="464" t="s">
        <v>1419</v>
      </c>
      <c r="H28" s="464"/>
      <c r="I28" s="287"/>
      <c r="J28" s="287"/>
    </row>
    <row r="29" spans="2:12" ht="20.149999999999999" customHeight="1" x14ac:dyDescent="0.35">
      <c r="B29" s="501" t="s">
        <v>383</v>
      </c>
      <c r="C29" s="501"/>
      <c r="D29" s="501"/>
      <c r="E29" s="365">
        <f>COUNTIF(Information!G26:G40,"YES")+COUNTIF(Information!G26:G40,"Partially")</f>
        <v>0</v>
      </c>
      <c r="F29" s="367"/>
      <c r="G29" s="465"/>
      <c r="H29" s="465"/>
      <c r="I29" s="287"/>
      <c r="J29" s="287"/>
    </row>
    <row r="30" spans="2:12" ht="20.149999999999999" customHeight="1" thickBot="1" x14ac:dyDescent="0.4">
      <c r="B30" s="2"/>
      <c r="F30" s="2"/>
      <c r="G30" s="7"/>
    </row>
    <row r="31" spans="2:12" ht="26.15" customHeight="1" x14ac:dyDescent="0.35">
      <c r="B31" s="64" t="s">
        <v>1393</v>
      </c>
      <c r="C31" s="65"/>
      <c r="D31" s="65"/>
      <c r="E31" s="64"/>
      <c r="F31" s="64"/>
      <c r="G31" s="66"/>
      <c r="H31" s="65"/>
      <c r="I31" s="65"/>
      <c r="J31" s="65"/>
      <c r="K31" s="65"/>
      <c r="L31" s="65"/>
    </row>
    <row r="32" spans="2:12" s="67" customFormat="1" ht="22" customHeight="1" x14ac:dyDescent="0.35">
      <c r="B32" s="285" t="s">
        <v>364</v>
      </c>
      <c r="C32" s="68"/>
      <c r="D32" s="68"/>
      <c r="E32" s="257">
        <f>SUM(Calculations!AI12:AI15)</f>
        <v>0</v>
      </c>
      <c r="F32" s="258" t="s">
        <v>365</v>
      </c>
      <c r="G32" s="500" t="s">
        <v>1414</v>
      </c>
      <c r="H32" s="500"/>
      <c r="I32" s="500"/>
      <c r="J32" s="500"/>
      <c r="K32" s="500"/>
      <c r="L32" s="500"/>
    </row>
    <row r="33" spans="2:12" x14ac:dyDescent="0.35">
      <c r="G33" s="7"/>
    </row>
    <row r="34" spans="2:12" x14ac:dyDescent="0.35">
      <c r="B34" s="506" t="s">
        <v>244</v>
      </c>
      <c r="C34" s="507"/>
      <c r="D34" s="507"/>
      <c r="E34" s="508"/>
      <c r="G34" s="506" t="s">
        <v>245</v>
      </c>
      <c r="H34" s="507"/>
      <c r="I34" s="507"/>
      <c r="J34" s="507"/>
      <c r="K34" s="507"/>
      <c r="L34" s="508"/>
    </row>
    <row r="35" spans="2:12" x14ac:dyDescent="0.35">
      <c r="B35" s="17"/>
      <c r="C35" s="18"/>
      <c r="D35" s="18"/>
      <c r="E35" s="19"/>
      <c r="G35" s="17"/>
      <c r="H35" s="18"/>
      <c r="I35" s="18"/>
      <c r="J35" s="18"/>
      <c r="K35" s="18"/>
      <c r="L35" s="19"/>
    </row>
    <row r="36" spans="2:12" x14ac:dyDescent="0.35">
      <c r="B36" s="20"/>
      <c r="E36" s="16"/>
      <c r="G36" s="20"/>
      <c r="L36" s="16"/>
    </row>
    <row r="37" spans="2:12" x14ac:dyDescent="0.35">
      <c r="B37" s="20"/>
      <c r="E37" s="16"/>
      <c r="G37" s="20"/>
      <c r="L37" s="16"/>
    </row>
    <row r="38" spans="2:12" x14ac:dyDescent="0.35">
      <c r="B38" s="20"/>
      <c r="E38" s="16"/>
      <c r="G38" s="20"/>
      <c r="L38" s="16"/>
    </row>
    <row r="39" spans="2:12" x14ac:dyDescent="0.35">
      <c r="B39" s="20"/>
      <c r="E39" s="16"/>
      <c r="G39" s="20"/>
      <c r="L39" s="16"/>
    </row>
    <row r="40" spans="2:12" x14ac:dyDescent="0.35">
      <c r="B40" s="20"/>
      <c r="E40" s="16"/>
      <c r="G40" s="20"/>
      <c r="L40" s="16"/>
    </row>
    <row r="41" spans="2:12" x14ac:dyDescent="0.35">
      <c r="B41" s="20"/>
      <c r="E41" s="16"/>
      <c r="G41" s="20"/>
      <c r="L41" s="16"/>
    </row>
    <row r="42" spans="2:12" x14ac:dyDescent="0.35">
      <c r="B42" s="20"/>
      <c r="E42" s="16"/>
      <c r="G42" s="20"/>
      <c r="L42" s="16"/>
    </row>
    <row r="43" spans="2:12" x14ac:dyDescent="0.35">
      <c r="B43" s="20"/>
      <c r="E43" s="16"/>
      <c r="G43" s="20"/>
      <c r="L43" s="16"/>
    </row>
    <row r="44" spans="2:12" x14ac:dyDescent="0.35">
      <c r="B44" s="20"/>
      <c r="E44" s="16"/>
      <c r="G44" s="20"/>
      <c r="L44" s="16"/>
    </row>
    <row r="45" spans="2:12" x14ac:dyDescent="0.35">
      <c r="B45" s="20"/>
      <c r="E45" s="16"/>
      <c r="G45" s="20"/>
      <c r="L45" s="16"/>
    </row>
    <row r="46" spans="2:12" x14ac:dyDescent="0.35">
      <c r="B46" s="21"/>
      <c r="C46" s="22"/>
      <c r="D46" s="22"/>
      <c r="E46" s="23"/>
      <c r="G46" s="21"/>
      <c r="H46" s="22"/>
      <c r="I46" s="22"/>
      <c r="J46" s="22"/>
      <c r="K46" s="22"/>
      <c r="L46" s="23"/>
    </row>
    <row r="47" spans="2:12" x14ac:dyDescent="0.35"/>
    <row r="48" spans="2:12" x14ac:dyDescent="0.35"/>
    <row r="49" spans="2:13" x14ac:dyDescent="0.35">
      <c r="B49" s="506" t="s">
        <v>246</v>
      </c>
      <c r="C49" s="507"/>
      <c r="D49" s="507"/>
      <c r="E49" s="508"/>
      <c r="G49" s="506" t="s">
        <v>1424</v>
      </c>
      <c r="H49" s="507"/>
      <c r="I49" s="507"/>
      <c r="J49" s="507"/>
      <c r="K49" s="507"/>
      <c r="L49" s="508"/>
    </row>
    <row r="50" spans="2:13" x14ac:dyDescent="0.35">
      <c r="B50" s="17"/>
      <c r="C50" s="18"/>
      <c r="D50" s="18"/>
      <c r="E50" s="18"/>
      <c r="F50" s="363"/>
      <c r="G50" s="509"/>
      <c r="H50" s="510"/>
      <c r="I50" s="510"/>
      <c r="J50" s="510"/>
      <c r="K50" s="510"/>
      <c r="L50" s="511"/>
    </row>
    <row r="51" spans="2:13" x14ac:dyDescent="0.35">
      <c r="B51" s="20"/>
      <c r="F51" s="363"/>
      <c r="G51" s="512"/>
      <c r="H51" s="513"/>
      <c r="I51" s="513"/>
      <c r="J51" s="513"/>
      <c r="K51" s="513"/>
      <c r="L51" s="514"/>
    </row>
    <row r="52" spans="2:13" x14ac:dyDescent="0.35">
      <c r="B52" s="20"/>
      <c r="F52" s="363"/>
      <c r="G52" s="512"/>
      <c r="H52" s="513"/>
      <c r="I52" s="513"/>
      <c r="J52" s="513"/>
      <c r="K52" s="513"/>
      <c r="L52" s="514"/>
    </row>
    <row r="53" spans="2:13" x14ac:dyDescent="0.35">
      <c r="B53" s="20"/>
      <c r="F53" s="363"/>
      <c r="G53" s="512"/>
      <c r="H53" s="513"/>
      <c r="I53" s="513"/>
      <c r="J53" s="513"/>
      <c r="K53" s="513"/>
      <c r="L53" s="514"/>
    </row>
    <row r="54" spans="2:13" x14ac:dyDescent="0.35">
      <c r="B54" s="20"/>
      <c r="F54" s="363"/>
      <c r="G54" s="512"/>
      <c r="H54" s="513"/>
      <c r="I54" s="513"/>
      <c r="J54" s="513"/>
      <c r="K54" s="513"/>
      <c r="L54" s="514"/>
    </row>
    <row r="55" spans="2:13" x14ac:dyDescent="0.35">
      <c r="B55" s="20"/>
      <c r="F55" s="363"/>
      <c r="G55" s="512"/>
      <c r="H55" s="513"/>
      <c r="I55" s="513"/>
      <c r="J55" s="513"/>
      <c r="K55" s="513"/>
      <c r="L55" s="514"/>
    </row>
    <row r="56" spans="2:13" x14ac:dyDescent="0.35">
      <c r="B56" s="20"/>
      <c r="F56" s="363"/>
      <c r="G56" s="512"/>
      <c r="H56" s="513"/>
      <c r="I56" s="513"/>
      <c r="J56" s="513"/>
      <c r="K56" s="513"/>
      <c r="L56" s="514"/>
      <c r="M56" s="368" t="s">
        <v>48</v>
      </c>
    </row>
    <row r="57" spans="2:13" x14ac:dyDescent="0.35">
      <c r="B57" s="20"/>
      <c r="F57" s="363"/>
      <c r="G57" s="512"/>
      <c r="H57" s="513"/>
      <c r="I57" s="513"/>
      <c r="J57" s="513"/>
      <c r="K57" s="513"/>
      <c r="L57" s="514"/>
      <c r="M57" s="368" t="s">
        <v>192</v>
      </c>
    </row>
    <row r="58" spans="2:13" x14ac:dyDescent="0.35">
      <c r="B58" s="20"/>
      <c r="F58" s="363"/>
      <c r="G58" s="512"/>
      <c r="H58" s="513"/>
      <c r="I58" s="513"/>
      <c r="J58" s="513"/>
      <c r="K58" s="513"/>
      <c r="L58" s="514"/>
      <c r="M58" s="368" t="s">
        <v>1423</v>
      </c>
    </row>
    <row r="59" spans="2:13" x14ac:dyDescent="0.35">
      <c r="B59" s="21"/>
      <c r="C59" s="22"/>
      <c r="D59" s="22"/>
      <c r="E59" s="22"/>
      <c r="F59" s="363"/>
      <c r="G59" s="515"/>
      <c r="H59" s="516"/>
      <c r="I59" s="516"/>
      <c r="J59" s="516"/>
      <c r="K59" s="516"/>
      <c r="L59" s="517"/>
    </row>
    <row r="60" spans="2:13" x14ac:dyDescent="0.35"/>
    <row r="62" spans="2:13" ht="15" hidden="1" customHeight="1" x14ac:dyDescent="0.35"/>
  </sheetData>
  <sheetProtection algorithmName="SHA-512" hashValue="kv+5OW3vb9doyYwwOnz33MJANAAOtXXYXPcNU9GIJrhUCyCQB+eV8/F5Is/f+bcqtsyywwVHQekzZDscw93fBQ==" saltValue="UWKlEu0u/cBRPhhXmkesug==" spinCount="100000" sheet="1" objects="1" scenarios="1" selectLockedCells="1" selectUnlockedCells="1"/>
  <mergeCells count="34">
    <mergeCell ref="B34:E34"/>
    <mergeCell ref="B49:E49"/>
    <mergeCell ref="G34:L34"/>
    <mergeCell ref="G49:L49"/>
    <mergeCell ref="G50:L59"/>
    <mergeCell ref="B4:C4"/>
    <mergeCell ref="D4:F4"/>
    <mergeCell ref="G32:L32"/>
    <mergeCell ref="B29:D29"/>
    <mergeCell ref="B28:D28"/>
    <mergeCell ref="B8:C8"/>
    <mergeCell ref="B9:C9"/>
    <mergeCell ref="H11:I11"/>
    <mergeCell ref="E8:F8"/>
    <mergeCell ref="E9:F9"/>
    <mergeCell ref="H8:I8"/>
    <mergeCell ref="H9:I9"/>
    <mergeCell ref="K8:L8"/>
    <mergeCell ref="K9:L9"/>
    <mergeCell ref="K4:L4"/>
    <mergeCell ref="G4:J4"/>
    <mergeCell ref="E11:F11"/>
    <mergeCell ref="K11:L11"/>
    <mergeCell ref="B11:C14"/>
    <mergeCell ref="E12:F14"/>
    <mergeCell ref="H12:I14"/>
    <mergeCell ref="K12:L14"/>
    <mergeCell ref="G28:H29"/>
    <mergeCell ref="J17:L18"/>
    <mergeCell ref="J19:L19"/>
    <mergeCell ref="J20:L20"/>
    <mergeCell ref="J21:L21"/>
    <mergeCell ref="J22:L22"/>
    <mergeCell ref="E25:H25"/>
  </mergeCells>
  <pageMargins left="0.7" right="0.7" top="0.75" bottom="0.75" header="0.3" footer="0.3"/>
  <pageSetup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3F37F2F4-06F1-49EA-8859-3981647F945C}">
            <xm:f>'Scope 1'!$G$86="NO"</xm:f>
            <x14:dxf>
              <font>
                <color auto="1"/>
              </font>
              <fill>
                <patternFill>
                  <bgColor theme="1"/>
                </patternFill>
              </fill>
            </x14:dxf>
          </x14:cfRule>
          <xm:sqref>E20:H20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70B6-090D-419E-B929-454A289A28C6}">
  <sheetPr>
    <tabColor theme="1"/>
  </sheetPr>
  <dimension ref="A1"/>
  <sheetViews>
    <sheetView showGridLines="0" showRowColHeaders="0" topLeftCell="A1048576" workbookViewId="0">
      <selection activeCell="H27" sqref="A1:XFD1048576"/>
    </sheetView>
  </sheetViews>
  <sheetFormatPr defaultRowHeight="14.5" zeroHeight="1" x14ac:dyDescent="0.35"/>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A73F7-7703-4A16-B190-674CE2CD2B7A}">
  <dimension ref="A1:AN91"/>
  <sheetViews>
    <sheetView showGridLines="0" topLeftCell="D61" zoomScale="90" zoomScaleNormal="90" workbookViewId="0">
      <selection activeCell="X100" sqref="X100"/>
    </sheetView>
  </sheetViews>
  <sheetFormatPr defaultColWidth="0" defaultRowHeight="14.5" x14ac:dyDescent="0.35"/>
  <cols>
    <col min="1" max="1" width="40" style="290" bestFit="1" customWidth="1"/>
    <col min="2" max="2" width="11.54296875" style="290" customWidth="1"/>
    <col min="3" max="3" width="15.54296875" style="349" customWidth="1"/>
    <col min="4" max="4" width="11.54296875" style="349" customWidth="1"/>
    <col min="5" max="5" width="49.36328125" style="349" bestFit="1" customWidth="1"/>
    <col min="6" max="6" width="40.7265625" style="349" bestFit="1" customWidth="1"/>
    <col min="7" max="7" width="33.54296875" style="349" customWidth="1"/>
    <col min="8" max="8" width="15.54296875" style="349" customWidth="1"/>
    <col min="9" max="9" width="11.54296875" style="349" customWidth="1"/>
    <col min="10" max="10" width="15.54296875" style="349" customWidth="1"/>
    <col min="11" max="11" width="11.54296875" style="349" customWidth="1"/>
    <col min="12" max="15" width="22.54296875" style="349" customWidth="1"/>
    <col min="16" max="16" width="12.7265625" style="349" bestFit="1" customWidth="1"/>
    <col min="17" max="17" width="7.81640625" style="349" bestFit="1" customWidth="1"/>
    <col min="18" max="18" width="15.1796875" style="349" customWidth="1"/>
    <col min="19" max="19" width="8.1796875" style="349" bestFit="1" customWidth="1"/>
    <col min="20" max="20" width="16.1796875" style="349" customWidth="1"/>
    <col min="21" max="21" width="7" style="349" bestFit="1" customWidth="1"/>
    <col min="22" max="22" width="16.54296875" style="349" bestFit="1" customWidth="1"/>
    <col min="23" max="23" width="6.81640625" style="349" bestFit="1" customWidth="1"/>
    <col min="24" max="25" width="15.54296875" style="349" customWidth="1"/>
    <col min="26" max="26" width="15.54296875" style="290" customWidth="1"/>
    <col min="27" max="27" width="30.54296875" style="288" customWidth="1"/>
    <col min="28" max="30" width="15.54296875" style="289" customWidth="1"/>
    <col min="31" max="31" width="15.54296875" style="290" customWidth="1"/>
    <col min="32" max="32" width="5.54296875" style="290" customWidth="1"/>
    <col min="33" max="35" width="15.54296875" style="290" customWidth="1"/>
    <col min="36" max="36" width="5.54296875" style="290" customWidth="1"/>
    <col min="37" max="40" width="0" style="291" hidden="1" customWidth="1"/>
    <col min="41" max="16384" width="8.7265625" style="291" hidden="1"/>
  </cols>
  <sheetData>
    <row r="1" spans="1:38" ht="22" customHeight="1" x14ac:dyDescent="0.35">
      <c r="A1" s="549" t="s">
        <v>987</v>
      </c>
      <c r="B1" s="550"/>
      <c r="C1" s="544" t="s">
        <v>247</v>
      </c>
      <c r="D1" s="538"/>
      <c r="E1" s="538"/>
      <c r="F1" s="538"/>
      <c r="G1" s="538"/>
      <c r="H1" s="538"/>
      <c r="I1" s="538"/>
      <c r="J1" s="538"/>
      <c r="K1" s="545"/>
      <c r="L1" s="542" t="s">
        <v>991</v>
      </c>
      <c r="M1" s="544" t="s">
        <v>248</v>
      </c>
      <c r="N1" s="538"/>
      <c r="O1" s="545"/>
      <c r="P1" s="538" t="s">
        <v>249</v>
      </c>
      <c r="Q1" s="538"/>
      <c r="R1" s="538"/>
      <c r="S1" s="538"/>
      <c r="T1" s="538"/>
      <c r="U1" s="538"/>
      <c r="V1" s="539" t="s">
        <v>1403</v>
      </c>
      <c r="W1" s="540"/>
      <c r="X1" s="540"/>
      <c r="Y1" s="540"/>
      <c r="Z1" s="541"/>
      <c r="AK1" s="291" t="s">
        <v>250</v>
      </c>
      <c r="AL1" s="291">
        <f>Information!F10</f>
        <v>0</v>
      </c>
    </row>
    <row r="2" spans="1:38" ht="22" customHeight="1" thickBot="1" x14ac:dyDescent="0.4">
      <c r="A2" s="292" t="s">
        <v>215</v>
      </c>
      <c r="B2" s="293" t="s">
        <v>363</v>
      </c>
      <c r="C2" s="294" t="s">
        <v>251</v>
      </c>
      <c r="D2" s="295" t="s">
        <v>252</v>
      </c>
      <c r="E2" s="295" t="s">
        <v>1172</v>
      </c>
      <c r="F2" s="295" t="s">
        <v>1171</v>
      </c>
      <c r="G2" s="295" t="s">
        <v>1173</v>
      </c>
      <c r="H2" s="295" t="s">
        <v>253</v>
      </c>
      <c r="I2" s="295" t="s">
        <v>254</v>
      </c>
      <c r="J2" s="295" t="s">
        <v>255</v>
      </c>
      <c r="K2" s="296" t="s">
        <v>256</v>
      </c>
      <c r="L2" s="543"/>
      <c r="M2" s="294" t="s">
        <v>257</v>
      </c>
      <c r="N2" s="295" t="s">
        <v>258</v>
      </c>
      <c r="O2" s="296" t="s">
        <v>259</v>
      </c>
      <c r="P2" s="297" t="s">
        <v>260</v>
      </c>
      <c r="Q2" s="295" t="s">
        <v>202</v>
      </c>
      <c r="R2" s="295" t="s">
        <v>261</v>
      </c>
      <c r="S2" s="295" t="s">
        <v>202</v>
      </c>
      <c r="T2" s="295" t="s">
        <v>262</v>
      </c>
      <c r="U2" s="298" t="s">
        <v>202</v>
      </c>
      <c r="V2" s="294" t="s">
        <v>263</v>
      </c>
      <c r="W2" s="295" t="s">
        <v>57</v>
      </c>
      <c r="X2" s="295" t="s">
        <v>988</v>
      </c>
      <c r="Y2" s="295" t="s">
        <v>989</v>
      </c>
      <c r="Z2" s="299" t="s">
        <v>990</v>
      </c>
      <c r="AA2" s="300"/>
      <c r="AB2" s="301" t="s">
        <v>988</v>
      </c>
      <c r="AC2" s="301" t="s">
        <v>989</v>
      </c>
      <c r="AD2" s="301" t="s">
        <v>1384</v>
      </c>
      <c r="AE2" s="302" t="s">
        <v>1168</v>
      </c>
    </row>
    <row r="3" spans="1:38" ht="22" customHeight="1" x14ac:dyDescent="0.35">
      <c r="A3" s="303" t="s">
        <v>48</v>
      </c>
      <c r="B3" s="304"/>
      <c r="C3" s="527"/>
      <c r="D3" s="528"/>
      <c r="E3" s="528"/>
      <c r="F3" s="528"/>
      <c r="G3" s="528"/>
      <c r="H3" s="528"/>
      <c r="I3" s="528"/>
      <c r="J3" s="528"/>
      <c r="K3" s="529"/>
      <c r="L3" s="306"/>
      <c r="M3" s="527"/>
      <c r="N3" s="528"/>
      <c r="O3" s="529"/>
      <c r="P3" s="527"/>
      <c r="Q3" s="528"/>
      <c r="R3" s="528"/>
      <c r="S3" s="528"/>
      <c r="T3" s="528"/>
      <c r="U3" s="529"/>
      <c r="V3" s="546"/>
      <c r="W3" s="547"/>
      <c r="X3" s="547"/>
      <c r="Y3" s="547"/>
      <c r="Z3" s="548"/>
      <c r="AA3" s="307" t="s">
        <v>1394</v>
      </c>
      <c r="AB3" s="308">
        <f>AB4+AB12+AB17+AB37+AB48+AB50</f>
        <v>0</v>
      </c>
      <c r="AC3" s="308">
        <f t="shared" ref="AC3:AD3" si="0">AC4+AC12+AC17+AC37+AC48+AC50</f>
        <v>0</v>
      </c>
      <c r="AD3" s="308">
        <f t="shared" si="0"/>
        <v>0</v>
      </c>
      <c r="AE3" s="309">
        <f>IFERROR(AB3/AD3,0)</f>
        <v>0</v>
      </c>
    </row>
    <row r="4" spans="1:38" ht="22" customHeight="1" x14ac:dyDescent="0.35">
      <c r="A4" s="310" t="s">
        <v>50</v>
      </c>
      <c r="B4" s="311"/>
      <c r="C4" s="521"/>
      <c r="D4" s="522"/>
      <c r="E4" s="522"/>
      <c r="F4" s="522"/>
      <c r="G4" s="522"/>
      <c r="H4" s="522"/>
      <c r="I4" s="522"/>
      <c r="J4" s="522"/>
      <c r="K4" s="523"/>
      <c r="L4" s="312"/>
      <c r="M4" s="521"/>
      <c r="N4" s="522"/>
      <c r="O4" s="523"/>
      <c r="P4" s="521"/>
      <c r="Q4" s="522"/>
      <c r="R4" s="522"/>
      <c r="S4" s="522"/>
      <c r="T4" s="522"/>
      <c r="U4" s="523"/>
      <c r="V4" s="518"/>
      <c r="W4" s="519"/>
      <c r="X4" s="519"/>
      <c r="Y4" s="519"/>
      <c r="Z4" s="520"/>
      <c r="AA4" s="313" t="s">
        <v>1395</v>
      </c>
      <c r="AB4" s="314">
        <f>SUM(X5:X10)</f>
        <v>0</v>
      </c>
      <c r="AC4" s="314">
        <f>SUM(Y5:Y10)</f>
        <v>0</v>
      </c>
      <c r="AD4" s="314">
        <f>SUM(V5:V10)</f>
        <v>0</v>
      </c>
      <c r="AE4" s="315">
        <f>IFERROR(AB4/AD4,0)</f>
        <v>0</v>
      </c>
    </row>
    <row r="5" spans="1:38" ht="22" customHeight="1" x14ac:dyDescent="0.35">
      <c r="A5" s="316" t="s">
        <v>59</v>
      </c>
      <c r="B5" s="317" t="str" cm="1">
        <f t="array" ref="B5">IFERROR(_xlfn.IFS('Scope 1'!C18="Yes","YES",'Scope 1'!C18="Jah","YES", 'Scope 1'!C18="Taip","YES",'Scope 1'!C18="Jā","YES"),"NO")</f>
        <v>NO</v>
      </c>
      <c r="C5" s="318">
        <f>IF(B5="YES",'Scope 1'!E18, 0)</f>
        <v>0</v>
      </c>
      <c r="D5" s="319" t="str">
        <f>'Scope 1'!F18</f>
        <v>MWh</v>
      </c>
      <c r="E5" s="319" t="str">
        <f>A5&amp;" "&amp;D5</f>
        <v>Natural gas MWh</v>
      </c>
      <c r="F5" s="320"/>
      <c r="G5" s="320"/>
      <c r="H5" s="319">
        <f>IF(B5="YES",'Scope 1'!I18,0)</f>
        <v>0</v>
      </c>
      <c r="I5" s="319" t="str">
        <f>'Scope 1'!J18</f>
        <v>m2</v>
      </c>
      <c r="J5" s="320"/>
      <c r="K5" s="321"/>
      <c r="L5" s="322">
        <f>Factors_CIBSE!$B$9</f>
        <v>101.71428571428571</v>
      </c>
      <c r="M5" s="318">
        <f>IFERROR(VLOOKUP(E5,'Carbon Factors'!$B$2:$H$449,5,FALSE),0)</f>
        <v>0.18396999999999999</v>
      </c>
      <c r="N5" s="319">
        <f>IFERROR(VLOOKUP((A5&amp;" kWh"),'Carbon Factors'!$B$2:$H$449,5,FALSE),0)</f>
        <v>1.8396999999999999E-4</v>
      </c>
      <c r="O5" s="321"/>
      <c r="P5" s="323">
        <f>C5*M5</f>
        <v>0</v>
      </c>
      <c r="Q5" s="324" t="str">
        <f>IFERROR(VLOOKUP(E5,'Carbon Factors'!$B$2:$K$449,9,FALSE),0)</f>
        <v>tCO2e</v>
      </c>
      <c r="R5" s="319">
        <f>H5*L5*N5</f>
        <v>0</v>
      </c>
      <c r="S5" s="324" t="str">
        <f>IFERROR(VLOOKUP((A5&amp;" kWh"),'Carbon Factors'!$B$2:$K$449,9,FALSE),0)</f>
        <v>tCO2e</v>
      </c>
      <c r="T5" s="320"/>
      <c r="U5" s="321"/>
      <c r="V5" s="318">
        <f>P5+R5</f>
        <v>0</v>
      </c>
      <c r="W5" s="319" t="str">
        <f>Q5</f>
        <v>tCO2e</v>
      </c>
      <c r="X5" s="319">
        <f>P5</f>
        <v>0</v>
      </c>
      <c r="Y5" s="319">
        <f>R5</f>
        <v>0</v>
      </c>
      <c r="Z5" s="315">
        <f>IFERROR(P5/V5,0)</f>
        <v>0</v>
      </c>
    </row>
    <row r="6" spans="1:38" ht="22" customHeight="1" x14ac:dyDescent="0.35">
      <c r="A6" s="316" t="s">
        <v>60</v>
      </c>
      <c r="B6" s="317" t="str" cm="1">
        <f t="array" ref="B6">IFERROR(_xlfn.IFS('Scope 1'!C19="Yes","YES",'Scope 1'!C19="Jah","YES", 'Scope 1'!C19="Taip","YES",'Scope 1'!C19="Jā","YES"),"NO")</f>
        <v>NO</v>
      </c>
      <c r="C6" s="318">
        <f>IF(B6="YES",'Scope 1'!E19, 0)</f>
        <v>0</v>
      </c>
      <c r="D6" s="319" t="str">
        <f>'Scope 1'!F19</f>
        <v>MWh</v>
      </c>
      <c r="E6" s="319" t="str">
        <f t="shared" ref="E6:E15" si="1">A6&amp;" "&amp;D6</f>
        <v>Burning oil MWh</v>
      </c>
      <c r="F6" s="320"/>
      <c r="G6" s="320"/>
      <c r="H6" s="319">
        <f>IF(B6="YES",'Scope 1'!I19,0)</f>
        <v>0</v>
      </c>
      <c r="I6" s="319" t="str">
        <f>'Scope 1'!J19</f>
        <v>m2</v>
      </c>
      <c r="J6" s="320"/>
      <c r="K6" s="321"/>
      <c r="L6" s="322">
        <f>Factors_CIBSE!$B$9</f>
        <v>101.71428571428571</v>
      </c>
      <c r="M6" s="318">
        <f>IFERROR(VLOOKUP(E6,'Carbon Factors'!$B$2:$H$449,5,FALSE),0)</f>
        <v>0.26</v>
      </c>
      <c r="N6" s="319">
        <f>IFERROR(VLOOKUP((A6&amp;" kWh"),'Carbon Factors'!$B$2:$H$449,5,FALSE),0)</f>
        <v>2.6000000000000003E-4</v>
      </c>
      <c r="O6" s="321"/>
      <c r="P6" s="323">
        <f t="shared" ref="P6:P15" si="2">C6*M6</f>
        <v>0</v>
      </c>
      <c r="Q6" s="324" t="str">
        <f>IFERROR(VLOOKUP(E6,'Carbon Factors'!$B$2:$K$449,9,FALSE),0)</f>
        <v>tCO2e</v>
      </c>
      <c r="R6" s="319">
        <f t="shared" ref="R6:R15" si="3">H6*L6*N6</f>
        <v>0</v>
      </c>
      <c r="S6" s="324" t="str">
        <f>IFERROR(VLOOKUP((A6&amp;" kWh"),'Carbon Factors'!$B$2:$K$449,9,FALSE),0)</f>
        <v>tCO2e</v>
      </c>
      <c r="T6" s="320"/>
      <c r="U6" s="321"/>
      <c r="V6" s="318">
        <f t="shared" ref="V6:V14" si="4">P6+R6</f>
        <v>0</v>
      </c>
      <c r="W6" s="319" t="str">
        <f t="shared" ref="W6:W32" si="5">Q6</f>
        <v>tCO2e</v>
      </c>
      <c r="X6" s="319">
        <f t="shared" ref="X6:X17" si="6">P6</f>
        <v>0</v>
      </c>
      <c r="Y6" s="319">
        <f t="shared" ref="Y6:Y15" si="7">R6</f>
        <v>0</v>
      </c>
      <c r="Z6" s="315">
        <f t="shared" ref="Z6:Z15" si="8">IFERROR(P6/V6,0)</f>
        <v>0</v>
      </c>
    </row>
    <row r="7" spans="1:38" ht="22" customHeight="1" x14ac:dyDescent="0.35">
      <c r="A7" s="316" t="s">
        <v>72</v>
      </c>
      <c r="B7" s="317" t="str" cm="1">
        <f t="array" ref="B7">IFERROR(_xlfn.IFS('Scope 1'!C20="Yes","YES",'Scope 1'!C20="Jah","YES", 'Scope 1'!C20="Taip","YES",'Scope 1'!C20="Jā","YES"),"NO")</f>
        <v>NO</v>
      </c>
      <c r="C7" s="318">
        <f>IF(B7="YES",'Scope 1'!E20, 0)</f>
        <v>0</v>
      </c>
      <c r="D7" s="319" t="str">
        <f>'Scope 1'!F20</f>
        <v>MWh</v>
      </c>
      <c r="E7" s="319" t="str">
        <f t="shared" si="1"/>
        <v>Diesel MWh</v>
      </c>
      <c r="F7" s="320"/>
      <c r="G7" s="320"/>
      <c r="H7" s="319">
        <f>IF(B7="YES",'Scope 1'!I20,0)</f>
        <v>0</v>
      </c>
      <c r="I7" s="319" t="str">
        <f>'Scope 1'!J20</f>
        <v>m2</v>
      </c>
      <c r="J7" s="320"/>
      <c r="K7" s="321"/>
      <c r="L7" s="322">
        <f>Factors_CIBSE!$B$9</f>
        <v>101.71428571428571</v>
      </c>
      <c r="M7" s="318">
        <f>IFERROR(VLOOKUP(E7,'Carbon Factors'!$B$2:$H$449,5,FALSE),0)</f>
        <v>0.25630999999999998</v>
      </c>
      <c r="N7" s="319">
        <f>IFERROR(VLOOKUP((A7&amp;" kWh"),'Carbon Factors'!$B$2:$H$449,5,FALSE),0)</f>
        <v>2.5630999999999999E-4</v>
      </c>
      <c r="O7" s="321"/>
      <c r="P7" s="323">
        <f t="shared" si="2"/>
        <v>0</v>
      </c>
      <c r="Q7" s="324" t="str">
        <f>IFERROR(VLOOKUP(E7,'Carbon Factors'!$B$2:$K$449,9,FALSE),0)</f>
        <v>tCO2e</v>
      </c>
      <c r="R7" s="319">
        <f t="shared" si="3"/>
        <v>0</v>
      </c>
      <c r="S7" s="324" t="str">
        <f>IFERROR(VLOOKUP((A7&amp;" kWh"),'Carbon Factors'!$B$2:$K$449,9,FALSE),0)</f>
        <v>tCO2e</v>
      </c>
      <c r="T7" s="320"/>
      <c r="U7" s="321"/>
      <c r="V7" s="318">
        <f t="shared" si="4"/>
        <v>0</v>
      </c>
      <c r="W7" s="319" t="str">
        <f t="shared" si="5"/>
        <v>tCO2e</v>
      </c>
      <c r="X7" s="319">
        <f t="shared" si="6"/>
        <v>0</v>
      </c>
      <c r="Y7" s="319">
        <f t="shared" si="7"/>
        <v>0</v>
      </c>
      <c r="Z7" s="315">
        <f t="shared" si="8"/>
        <v>0</v>
      </c>
    </row>
    <row r="8" spans="1:38" ht="22" customHeight="1" x14ac:dyDescent="0.35">
      <c r="A8" s="316" t="s">
        <v>61</v>
      </c>
      <c r="B8" s="317" t="str" cm="1">
        <f t="array" ref="B8">IFERROR(_xlfn.IFS('Scope 1'!C21="Yes","YES",'Scope 1'!C21="Jah","YES", 'Scope 1'!C21="Taip","YES",'Scope 1'!C21="Jā","YES"),"NO")</f>
        <v>NO</v>
      </c>
      <c r="C8" s="318">
        <f>IF(B8="YES",'Scope 1'!E21, 0)</f>
        <v>0</v>
      </c>
      <c r="D8" s="319" t="str">
        <f>'Scope 1'!F21</f>
        <v>MWh</v>
      </c>
      <c r="E8" s="319" t="str">
        <f t="shared" si="1"/>
        <v>Coal MWh</v>
      </c>
      <c r="F8" s="320"/>
      <c r="G8" s="320"/>
      <c r="H8" s="319">
        <f>IF(B8="YES",'Scope 1'!I21,0)</f>
        <v>0</v>
      </c>
      <c r="I8" s="319" t="str">
        <f>'Scope 1'!J21</f>
        <v>m2</v>
      </c>
      <c r="J8" s="320"/>
      <c r="K8" s="321"/>
      <c r="L8" s="322">
        <f>Factors_CIBSE!$B$9</f>
        <v>101.71428571428571</v>
      </c>
      <c r="M8" s="318">
        <f>IFERROR(VLOOKUP(E8,'Carbon Factors'!$B$2:$H$449,5,FALSE),0)</f>
        <v>0.36</v>
      </c>
      <c r="N8" s="319">
        <f>IFERROR(VLOOKUP((A8&amp;" kWh"),'Carbon Factors'!$B$2:$H$449,5,FALSE),0)</f>
        <v>3.5999999999999997E-4</v>
      </c>
      <c r="O8" s="321"/>
      <c r="P8" s="323">
        <f t="shared" si="2"/>
        <v>0</v>
      </c>
      <c r="Q8" s="324" t="str">
        <f>IFERROR(VLOOKUP(E8,'Carbon Factors'!$B$2:$K$449,9,FALSE),0)</f>
        <v>tCO2e</v>
      </c>
      <c r="R8" s="319">
        <f t="shared" si="3"/>
        <v>0</v>
      </c>
      <c r="S8" s="324" t="str">
        <f>IFERROR(VLOOKUP((A8&amp;" kWh"),'Carbon Factors'!$B$2:$K$449,9,FALSE),0)</f>
        <v>tCO2e</v>
      </c>
      <c r="T8" s="320"/>
      <c r="U8" s="321"/>
      <c r="V8" s="318">
        <f t="shared" si="4"/>
        <v>0</v>
      </c>
      <c r="W8" s="319" t="str">
        <f t="shared" si="5"/>
        <v>tCO2e</v>
      </c>
      <c r="X8" s="319">
        <f t="shared" si="6"/>
        <v>0</v>
      </c>
      <c r="Y8" s="319">
        <f t="shared" si="7"/>
        <v>0</v>
      </c>
      <c r="Z8" s="315">
        <f t="shared" si="8"/>
        <v>0</v>
      </c>
    </row>
    <row r="9" spans="1:38" ht="22" customHeight="1" x14ac:dyDescent="0.35">
      <c r="A9" s="316" t="s">
        <v>62</v>
      </c>
      <c r="B9" s="317" t="str" cm="1">
        <f t="array" ref="B9">IFERROR(_xlfn.IFS('Scope 1'!C22="Yes","YES",'Scope 1'!C22="Jah","YES", 'Scope 1'!C22="Taip","YES",'Scope 1'!C22="Jā","YES"),"NO")</f>
        <v>NO</v>
      </c>
      <c r="C9" s="318">
        <f>IF(B9="YES",'Scope 1'!E22, 0)</f>
        <v>0</v>
      </c>
      <c r="D9" s="319">
        <f>'Scope 1'!F22</f>
        <v>0</v>
      </c>
      <c r="E9" s="319" t="str">
        <f t="shared" si="1"/>
        <v>LPG 0</v>
      </c>
      <c r="F9" s="320"/>
      <c r="G9" s="320"/>
      <c r="H9" s="319">
        <f>IF(B9="YES",'Scope 1'!I22,0)</f>
        <v>0</v>
      </c>
      <c r="I9" s="319" t="str">
        <f>'Scope 1'!J22</f>
        <v>m2</v>
      </c>
      <c r="J9" s="320"/>
      <c r="K9" s="321"/>
      <c r="L9" s="322">
        <f>Factors_CIBSE!$B$9</f>
        <v>101.71428571428571</v>
      </c>
      <c r="M9" s="318">
        <f>IFERROR(VLOOKUP(E9,'Carbon Factors'!$B$2:$H$449,5,FALSE),0)</f>
        <v>0</v>
      </c>
      <c r="N9" s="319">
        <f>IFERROR(VLOOKUP((A9&amp;" kWh"),'Carbon Factors'!$B$2:$H$449,5,FALSE),0)</f>
        <v>2.0999999999999998E-4</v>
      </c>
      <c r="O9" s="321"/>
      <c r="P9" s="323">
        <f t="shared" si="2"/>
        <v>0</v>
      </c>
      <c r="Q9" s="324">
        <f>IFERROR(VLOOKUP(E9,'Carbon Factors'!$B$2:$K$449,9,FALSE),0)</f>
        <v>0</v>
      </c>
      <c r="R9" s="319">
        <f t="shared" si="3"/>
        <v>0</v>
      </c>
      <c r="S9" s="324" t="str">
        <f>IFERROR(VLOOKUP((A9&amp;" kWh"),'Carbon Factors'!$B$2:$K$449,9,FALSE),0)</f>
        <v>tCO2e</v>
      </c>
      <c r="T9" s="320"/>
      <c r="U9" s="321"/>
      <c r="V9" s="318">
        <f t="shared" si="4"/>
        <v>0</v>
      </c>
      <c r="W9" s="319">
        <f t="shared" si="5"/>
        <v>0</v>
      </c>
      <c r="X9" s="319">
        <f t="shared" si="6"/>
        <v>0</v>
      </c>
      <c r="Y9" s="319">
        <f t="shared" si="7"/>
        <v>0</v>
      </c>
      <c r="Z9" s="315">
        <f t="shared" si="8"/>
        <v>0</v>
      </c>
    </row>
    <row r="10" spans="1:38" ht="22" customHeight="1" x14ac:dyDescent="0.35">
      <c r="A10" s="316" t="s">
        <v>63</v>
      </c>
      <c r="B10" s="317" t="str" cm="1">
        <f t="array" ref="B10">IFERROR(_xlfn.IFS('Scope 1'!C23="Yes","YES",'Scope 1'!C23="Jah","YES", 'Scope 1'!C23="Taip","YES",'Scope 1'!C23="Jā","YES"),"NO")</f>
        <v>NO</v>
      </c>
      <c r="C10" s="318">
        <f>IF(B10="YES",'Scope 1'!E23, 0)</f>
        <v>0</v>
      </c>
      <c r="D10" s="319" t="str">
        <f>'Scope 1'!F23</f>
        <v>MWh</v>
      </c>
      <c r="E10" s="319" t="str">
        <f t="shared" si="1"/>
        <v>Propane MWh</v>
      </c>
      <c r="F10" s="320"/>
      <c r="G10" s="320"/>
      <c r="H10" s="319">
        <f>IF(B10="YES",'Scope 1'!I23,0)</f>
        <v>0</v>
      </c>
      <c r="I10" s="319" t="str">
        <f>'Scope 1'!J23</f>
        <v>m2</v>
      </c>
      <c r="J10" s="320"/>
      <c r="K10" s="321"/>
      <c r="L10" s="322">
        <f>Factors_CIBSE!$B$9</f>
        <v>101.71428571428571</v>
      </c>
      <c r="M10" s="318">
        <f>IFERROR(VLOOKUP(E10,'Carbon Factors'!$B$2:$H$449,5,FALSE),0)</f>
        <v>1.54</v>
      </c>
      <c r="N10" s="319">
        <f>IFERROR(VLOOKUP((A10&amp;" kWh"),'Carbon Factors'!$B$2:$H$449,5,FALSE),0)</f>
        <v>2.0999999999999998E-4</v>
      </c>
      <c r="O10" s="321"/>
      <c r="P10" s="323">
        <f t="shared" si="2"/>
        <v>0</v>
      </c>
      <c r="Q10" s="324" t="str">
        <f>IFERROR(VLOOKUP(E10,'Carbon Factors'!$B$2:$K$449,9,FALSE),0)</f>
        <v>tCO2e</v>
      </c>
      <c r="R10" s="319">
        <f t="shared" si="3"/>
        <v>0</v>
      </c>
      <c r="S10" s="324" t="str">
        <f>IFERROR(VLOOKUP((A10&amp;" kWh"),'Carbon Factors'!$B$2:$K$449,9,FALSE),0)</f>
        <v>tCO2e</v>
      </c>
      <c r="T10" s="320"/>
      <c r="U10" s="321"/>
      <c r="V10" s="318">
        <f t="shared" si="4"/>
        <v>0</v>
      </c>
      <c r="W10" s="319" t="str">
        <f t="shared" si="5"/>
        <v>tCO2e</v>
      </c>
      <c r="X10" s="319">
        <f t="shared" si="6"/>
        <v>0</v>
      </c>
      <c r="Y10" s="319">
        <f t="shared" si="7"/>
        <v>0</v>
      </c>
      <c r="Z10" s="315">
        <f t="shared" si="8"/>
        <v>0</v>
      </c>
      <c r="AG10" s="537" t="s">
        <v>1184</v>
      </c>
      <c r="AH10" s="537"/>
      <c r="AI10" s="537"/>
    </row>
    <row r="11" spans="1:38" ht="22" customHeight="1" x14ac:dyDescent="0.35">
      <c r="A11" s="310" t="s">
        <v>1188</v>
      </c>
      <c r="B11" s="311"/>
      <c r="C11" s="521"/>
      <c r="D11" s="522"/>
      <c r="E11" s="522"/>
      <c r="F11" s="522"/>
      <c r="G11" s="522"/>
      <c r="H11" s="522"/>
      <c r="I11" s="522"/>
      <c r="J11" s="522"/>
      <c r="K11" s="523"/>
      <c r="L11" s="312"/>
      <c r="M11" s="521"/>
      <c r="N11" s="522"/>
      <c r="O11" s="523"/>
      <c r="P11" s="521"/>
      <c r="Q11" s="522"/>
      <c r="R11" s="522"/>
      <c r="S11" s="522"/>
      <c r="T11" s="522"/>
      <c r="U11" s="523"/>
      <c r="V11" s="518"/>
      <c r="W11" s="519"/>
      <c r="X11" s="519"/>
      <c r="Y11" s="519"/>
      <c r="Z11" s="520"/>
      <c r="AA11" s="560" t="s">
        <v>1396</v>
      </c>
      <c r="AB11" s="301" t="s">
        <v>988</v>
      </c>
      <c r="AC11" s="301" t="s">
        <v>989</v>
      </c>
      <c r="AD11" s="301" t="s">
        <v>1384</v>
      </c>
      <c r="AE11" s="302" t="s">
        <v>1168</v>
      </c>
      <c r="AG11" s="325" t="s">
        <v>1185</v>
      </c>
      <c r="AH11" s="325" t="s">
        <v>1186</v>
      </c>
      <c r="AI11" s="325" t="s">
        <v>1187</v>
      </c>
    </row>
    <row r="12" spans="1:38" ht="22" customHeight="1" x14ac:dyDescent="0.35">
      <c r="A12" s="316" t="s">
        <v>358</v>
      </c>
      <c r="B12" s="317" t="str" cm="1">
        <f t="array" ref="B12">IFERROR(_xlfn.IFS('Scope 1'!C25="Yes","YES",'Scope 1'!C25="Jah","YES", 'Scope 1'!C25="Taip","YES",'Scope 1'!C25="Jā","YES"),"NO")</f>
        <v>NO</v>
      </c>
      <c r="C12" s="318">
        <f>IF(B12="YES",'Scope 1'!E25, 0)</f>
        <v>0</v>
      </c>
      <c r="D12" s="319" t="str">
        <f>'Scope 1'!F25</f>
        <v>MWh</v>
      </c>
      <c r="E12" s="319" t="str">
        <f t="shared" si="1"/>
        <v>Biomass - wood logs MWh</v>
      </c>
      <c r="F12" s="320"/>
      <c r="G12" s="320"/>
      <c r="H12" s="319">
        <f>IF(B12="YES",'Scope 1'!I25,0)</f>
        <v>0</v>
      </c>
      <c r="I12" s="319" t="str">
        <f>'Scope 1'!J25</f>
        <v>m2</v>
      </c>
      <c r="J12" s="320"/>
      <c r="K12" s="321"/>
      <c r="L12" s="322">
        <f>Factors_CIBSE!$B$9</f>
        <v>101.71428571428571</v>
      </c>
      <c r="M12" s="318">
        <f>IFERROR(VLOOKUP(E12,'Carbon Factors'!$B$2:$H$449,6,FALSE),0)+IFERROR(VLOOKUP(E12,'Carbon Factors'!$B$2:$H$449,7,FALSE),0)</f>
        <v>3.4055999999972747E-2</v>
      </c>
      <c r="N12" s="319">
        <f>IFERROR(VLOOKUP((A12&amp;" kWh"),'Carbon Factors'!$B$2:$H$449,6,FALSE),0)+IFERROR(VLOOKUP((A12&amp;" kWh"),'Carbon Factors'!$B$2:$H$449,7,FALSE),0)</f>
        <v>3.405599999997276E-5</v>
      </c>
      <c r="O12" s="321"/>
      <c r="P12" s="323">
        <f t="shared" si="2"/>
        <v>0</v>
      </c>
      <c r="Q12" s="324" t="str">
        <f>IFERROR(VLOOKUP(E12,'Carbon Factors'!$B$2:$K$449,9,FALSE),0)</f>
        <v>tCO2e</v>
      </c>
      <c r="R12" s="319">
        <f t="shared" si="3"/>
        <v>0</v>
      </c>
      <c r="S12" s="324" t="str">
        <f>IFERROR(VLOOKUP((A12&amp;" kWh"),'Carbon Factors'!$B$2:$K$449,9,FALSE),0)</f>
        <v>tCO2e</v>
      </c>
      <c r="T12" s="320"/>
      <c r="U12" s="321"/>
      <c r="V12" s="318">
        <f t="shared" si="4"/>
        <v>0</v>
      </c>
      <c r="W12" s="319" t="str">
        <f t="shared" si="5"/>
        <v>tCO2e</v>
      </c>
      <c r="X12" s="319">
        <f t="shared" si="6"/>
        <v>0</v>
      </c>
      <c r="Y12" s="319">
        <f t="shared" si="7"/>
        <v>0</v>
      </c>
      <c r="Z12" s="315">
        <f t="shared" si="8"/>
        <v>0</v>
      </c>
      <c r="AA12" s="561"/>
      <c r="AB12" s="314">
        <f>SUM(X12:X15)</f>
        <v>0</v>
      </c>
      <c r="AC12" s="314">
        <f>SUM(Y12:Y15)</f>
        <v>0</v>
      </c>
      <c r="AD12" s="314">
        <f>SUM(V12:V15)</f>
        <v>0</v>
      </c>
      <c r="AE12" s="315">
        <f>IFERROR(AB12/AD12,0)</f>
        <v>0</v>
      </c>
      <c r="AG12" s="319">
        <f>IFERROR(VLOOKUP(E12,'Carbon Factors'!$B$2:$H$449,5,FALSE),0)</f>
        <v>1.0529999999999999E-2</v>
      </c>
      <c r="AH12" s="314">
        <f>C12</f>
        <v>0</v>
      </c>
      <c r="AI12" s="314">
        <f>AG12*AH12</f>
        <v>0</v>
      </c>
    </row>
    <row r="13" spans="1:38" ht="22" customHeight="1" x14ac:dyDescent="0.35">
      <c r="A13" s="316" t="s">
        <v>359</v>
      </c>
      <c r="B13" s="317" t="str" cm="1">
        <f t="array" ref="B13">IFERROR(_xlfn.IFS('Scope 1'!C26="Yes","YES",'Scope 1'!C26="Jah","YES", 'Scope 1'!C26="Taip","YES",'Scope 1'!C26="Jā","YES"),"NO")</f>
        <v>NO</v>
      </c>
      <c r="C13" s="318">
        <f>IF(B13="YES",'Scope 1'!E26, 0)</f>
        <v>0</v>
      </c>
      <c r="D13" s="319" t="str">
        <f>'Scope 1'!F26</f>
        <v>MWh</v>
      </c>
      <c r="E13" s="319" t="str">
        <f t="shared" si="1"/>
        <v>Biomass - wood chips MWh</v>
      </c>
      <c r="F13" s="320"/>
      <c r="G13" s="320"/>
      <c r="H13" s="319">
        <f>IF(B13="YES",'Scope 1'!I26,0)</f>
        <v>0</v>
      </c>
      <c r="I13" s="319" t="str">
        <f>'Scope 1'!J26</f>
        <v>m2</v>
      </c>
      <c r="J13" s="320"/>
      <c r="K13" s="321"/>
      <c r="L13" s="322">
        <f>Factors_CIBSE!$B$9</f>
        <v>101.71428571428571</v>
      </c>
      <c r="M13" s="318">
        <f>IFERROR(VLOOKUP(E13,'Carbon Factors'!$B$2:$H$449,6,FALSE),0)+IFERROR(VLOOKUP(E13,'Carbon Factors'!$B$2:$H$449,7,FALSE),0)</f>
        <v>3.4055999999972747E-2</v>
      </c>
      <c r="N13" s="319">
        <f>IFERROR(VLOOKUP((A13&amp;" kWh"),'Carbon Factors'!$B$2:$H$449,6,FALSE),0)+IFERROR(VLOOKUP((A13&amp;" kWh"),'Carbon Factors'!$B$2:$H$449,7,FALSE),0)</f>
        <v>3.405599999997276E-5</v>
      </c>
      <c r="O13" s="321"/>
      <c r="P13" s="323">
        <f t="shared" si="2"/>
        <v>0</v>
      </c>
      <c r="Q13" s="324" t="str">
        <f>IFERROR(VLOOKUP(E13,'Carbon Factors'!$B$2:$K$449,9,FALSE),0)</f>
        <v>tCO2e</v>
      </c>
      <c r="R13" s="319">
        <f t="shared" si="3"/>
        <v>0</v>
      </c>
      <c r="S13" s="324" t="str">
        <f>IFERROR(VLOOKUP((A13&amp;" kWh"),'Carbon Factors'!$B$2:$K$449,9,FALSE),0)</f>
        <v>tCO2e</v>
      </c>
      <c r="T13" s="320"/>
      <c r="U13" s="321"/>
      <c r="V13" s="318">
        <f t="shared" si="4"/>
        <v>0</v>
      </c>
      <c r="W13" s="319" t="str">
        <f t="shared" si="5"/>
        <v>tCO2e</v>
      </c>
      <c r="X13" s="319">
        <f t="shared" si="6"/>
        <v>0</v>
      </c>
      <c r="Y13" s="319">
        <f t="shared" si="7"/>
        <v>0</v>
      </c>
      <c r="Z13" s="315">
        <f t="shared" si="8"/>
        <v>0</v>
      </c>
      <c r="AG13" s="319">
        <f>IFERROR(VLOOKUP(E13,'Carbon Factors'!$B$2:$H$449,5,FALSE),0)</f>
        <v>1.0529999999999999E-2</v>
      </c>
      <c r="AH13" s="314">
        <f>C13</f>
        <v>0</v>
      </c>
      <c r="AI13" s="314">
        <f t="shared" ref="AI13:AI15" si="9">AG13*AH13</f>
        <v>0</v>
      </c>
    </row>
    <row r="14" spans="1:38" ht="22" customHeight="1" x14ac:dyDescent="0.35">
      <c r="A14" s="316" t="s">
        <v>360</v>
      </c>
      <c r="B14" s="317" t="str" cm="1">
        <f t="array" ref="B14">IFERROR(_xlfn.IFS('Scope 1'!C27="Yes","YES",'Scope 1'!C27="Jah","YES", 'Scope 1'!C27="Taip","YES",'Scope 1'!C27="Jā","YES"),"NO")</f>
        <v>NO</v>
      </c>
      <c r="C14" s="318">
        <f>IF(B14="YES",'Scope 1'!E27, 0)</f>
        <v>0</v>
      </c>
      <c r="D14" s="319" t="str">
        <f>'Scope 1'!F27</f>
        <v>Tonnes</v>
      </c>
      <c r="E14" s="319" t="str">
        <f t="shared" si="1"/>
        <v>Biomass - wood pellets Tonnes</v>
      </c>
      <c r="F14" s="320"/>
      <c r="G14" s="320"/>
      <c r="H14" s="319">
        <f>IF(B14="YES",'Scope 1'!I27,0)</f>
        <v>0</v>
      </c>
      <c r="I14" s="319" t="str">
        <f>'Scope 1'!J27</f>
        <v>m2</v>
      </c>
      <c r="J14" s="320"/>
      <c r="K14" s="321"/>
      <c r="L14" s="322">
        <f>Factors_CIBSE!$B$9</f>
        <v>101.71428571428571</v>
      </c>
      <c r="M14" s="318">
        <f>IFERROR(VLOOKUP(E14,'Carbon Factors'!$B$2:$H$449,6,FALSE),0)+IFERROR(VLOOKUP(E14,'Carbon Factors'!$B$2:$H$449,7,FALSE),0)</f>
        <v>5.6829759999999993E-3</v>
      </c>
      <c r="N14" s="319">
        <f>IFERROR(VLOOKUP((A14&amp;" kWh"),'Carbon Factors'!$B$2:$H$449,6,FALSE),0)+IFERROR(VLOOKUP((A14&amp;" kWh"),'Carbon Factors'!$B$2:$H$449,7,FALSE),0)</f>
        <v>3.405599999997276E-5</v>
      </c>
      <c r="O14" s="321"/>
      <c r="P14" s="323">
        <f t="shared" si="2"/>
        <v>0</v>
      </c>
      <c r="Q14" s="324" t="str">
        <f>IFERROR(VLOOKUP(E14,'Carbon Factors'!$B$2:$K$449,9,FALSE),0)</f>
        <v>tCO2e</v>
      </c>
      <c r="R14" s="319">
        <f t="shared" si="3"/>
        <v>0</v>
      </c>
      <c r="S14" s="324" t="str">
        <f>IFERROR(VLOOKUP((A14&amp;" kWh"),'Carbon Factors'!$B$2:$K$449,9,FALSE),0)</f>
        <v>tCO2e</v>
      </c>
      <c r="T14" s="320"/>
      <c r="U14" s="321"/>
      <c r="V14" s="318">
        <f t="shared" si="4"/>
        <v>0</v>
      </c>
      <c r="W14" s="319" t="str">
        <f t="shared" si="5"/>
        <v>tCO2e</v>
      </c>
      <c r="X14" s="319">
        <f t="shared" si="6"/>
        <v>0</v>
      </c>
      <c r="Y14" s="319">
        <f t="shared" si="7"/>
        <v>0</v>
      </c>
      <c r="Z14" s="315">
        <f t="shared" si="8"/>
        <v>0</v>
      </c>
      <c r="AG14" s="319">
        <f>IFERROR(VLOOKUP(E14,'Carbon Factors'!$B$2:$H$449,5,FALSE),0)</f>
        <v>5.0554589999999996E-2</v>
      </c>
      <c r="AH14" s="314">
        <f>C14</f>
        <v>0</v>
      </c>
      <c r="AI14" s="314">
        <f t="shared" si="9"/>
        <v>0</v>
      </c>
    </row>
    <row r="15" spans="1:38" ht="22" customHeight="1" x14ac:dyDescent="0.35">
      <c r="A15" s="316" t="s">
        <v>361</v>
      </c>
      <c r="B15" s="317" t="str" cm="1">
        <f t="array" ref="B15">IFERROR(_xlfn.IFS('Scope 1'!C28="Yes","YES",'Scope 1'!C28="Jah","YES", 'Scope 1'!C28="Taip","YES",'Scope 1'!C28="Jā","YES"),"NO")</f>
        <v>NO</v>
      </c>
      <c r="C15" s="318">
        <f>IF(B15="YES",'Scope 1'!E28, 0)</f>
        <v>0</v>
      </c>
      <c r="D15" s="319" t="str">
        <f>'Scope 1'!F28</f>
        <v>Tonnes</v>
      </c>
      <c r="E15" s="319" t="str">
        <f t="shared" si="1"/>
        <v>Biomass - grass/straw Tonnes</v>
      </c>
      <c r="F15" s="320"/>
      <c r="G15" s="320"/>
      <c r="H15" s="319">
        <f>IF(B15="YES",'Scope 1'!I28,0)</f>
        <v>0</v>
      </c>
      <c r="I15" s="319" t="str">
        <f>'Scope 1'!J28</f>
        <v>m2</v>
      </c>
      <c r="J15" s="320"/>
      <c r="K15" s="321"/>
      <c r="L15" s="322">
        <f>Factors_CIBSE!$B$9</f>
        <v>101.71428571428571</v>
      </c>
      <c r="M15" s="318">
        <f>IFERROR(VLOOKUP(E15,'Carbon Factors'!$B$2:$H$449,6,FALSE),0)+IFERROR(VLOOKUP(E15,'Carbon Factors'!$B$2:$H$449,7,FALSE),0)</f>
        <v>4.7879999999999997E-3</v>
      </c>
      <c r="N15" s="319">
        <f>IFERROR(VLOOKUP((A15&amp;" kWh"),'Carbon Factors'!$B$2:$H$449,6,FALSE),0)+IFERROR(VLOOKUP((A15&amp;" kWh"),'Carbon Factors'!$B$2:$H$449,7,FALSE),0)</f>
        <v>3.405599999997276E-5</v>
      </c>
      <c r="O15" s="321"/>
      <c r="P15" s="323">
        <f t="shared" si="2"/>
        <v>0</v>
      </c>
      <c r="Q15" s="324" t="str">
        <f>IFERROR(VLOOKUP(E15,'Carbon Factors'!$B$2:$K$449,9,FALSE),0)</f>
        <v>tCO2e</v>
      </c>
      <c r="R15" s="319">
        <f t="shared" si="3"/>
        <v>0</v>
      </c>
      <c r="S15" s="324" t="str">
        <f>IFERROR(VLOOKUP((A15&amp;" kWh"),'Carbon Factors'!$B$2:$K$449,9,FALSE),0)</f>
        <v>tCO2e</v>
      </c>
      <c r="T15" s="320"/>
      <c r="U15" s="321"/>
      <c r="V15" s="318">
        <f>P15+R15</f>
        <v>0</v>
      </c>
      <c r="W15" s="319" t="str">
        <f t="shared" si="5"/>
        <v>tCO2e</v>
      </c>
      <c r="X15" s="319">
        <f t="shared" si="6"/>
        <v>0</v>
      </c>
      <c r="Y15" s="319">
        <f t="shared" si="7"/>
        <v>0</v>
      </c>
      <c r="Z15" s="315">
        <f t="shared" si="8"/>
        <v>0</v>
      </c>
      <c r="AG15" s="319">
        <f>IFERROR(VLOOKUP(E15,'Carbon Factors'!$B$2:$H$449,5,FALSE),0)</f>
        <v>4.8048250000000001E-2</v>
      </c>
      <c r="AH15" s="314">
        <f>C15</f>
        <v>0</v>
      </c>
      <c r="AI15" s="314">
        <f t="shared" si="9"/>
        <v>0</v>
      </c>
    </row>
    <row r="16" spans="1:38" ht="22" customHeight="1" x14ac:dyDescent="0.35">
      <c r="A16" s="310" t="s">
        <v>65</v>
      </c>
      <c r="B16" s="311"/>
      <c r="C16" s="521"/>
      <c r="D16" s="522"/>
      <c r="E16" s="522"/>
      <c r="F16" s="522"/>
      <c r="G16" s="522"/>
      <c r="H16" s="522"/>
      <c r="I16" s="522"/>
      <c r="J16" s="522"/>
      <c r="K16" s="523"/>
      <c r="L16" s="312"/>
      <c r="M16" s="521"/>
      <c r="N16" s="522"/>
      <c r="O16" s="523"/>
      <c r="P16" s="521"/>
      <c r="Q16" s="522"/>
      <c r="R16" s="522"/>
      <c r="S16" s="522"/>
      <c r="T16" s="522"/>
      <c r="U16" s="523"/>
      <c r="V16" s="518"/>
      <c r="W16" s="519"/>
      <c r="X16" s="519"/>
      <c r="Y16" s="519"/>
      <c r="Z16" s="520"/>
      <c r="AA16" s="560" t="s">
        <v>65</v>
      </c>
      <c r="AB16" s="301" t="s">
        <v>988</v>
      </c>
      <c r="AC16" s="301" t="s">
        <v>989</v>
      </c>
      <c r="AD16" s="301" t="s">
        <v>1384</v>
      </c>
      <c r="AE16" s="302" t="s">
        <v>1168</v>
      </c>
    </row>
    <row r="17" spans="1:31" ht="22" customHeight="1" x14ac:dyDescent="0.35">
      <c r="A17" s="316" t="s">
        <v>72</v>
      </c>
      <c r="B17" s="317" t="str" cm="1">
        <f t="array" ref="B17">IFERROR(_xlfn.IFS('Scope 1'!$C$40="Yes","YES",'Scope 1'!$C$40="Jah","YES", 'Scope 1'!$C$40="Taip","YES",'Scope 1'!$C$40="Jā","YES"),"NO")</f>
        <v>NO</v>
      </c>
      <c r="C17" s="322">
        <f>IF(B17="YES",'Scope 1'!E40,0)</f>
        <v>0</v>
      </c>
      <c r="D17" s="319">
        <f>'Scope 1'!F40</f>
        <v>0</v>
      </c>
      <c r="E17" s="319" t="str">
        <f>IF(A17="Hybrid cars","Petrol "&amp;D17,A17&amp;" "&amp;D17)</f>
        <v>Diesel 0</v>
      </c>
      <c r="F17" s="319" t="str">
        <f>'Scope 1'!I40&amp;" - "&amp;A17</f>
        <v xml:space="preserve"> - Diesel</v>
      </c>
      <c r="G17" s="319" t="str">
        <f>Information!$F$12&amp;" - "&amp;"Other land transport"</f>
        <v xml:space="preserve"> - Other land transport</v>
      </c>
      <c r="H17" s="319">
        <f>IF(B17="YES",'Scope 1'!J40, 0)</f>
        <v>0</v>
      </c>
      <c r="I17" s="319" t="str">
        <f>'Scope 1'!K40</f>
        <v>km</v>
      </c>
      <c r="J17" s="319">
        <f>IF(B17="YES",'Scope 1'!L40,0)</f>
        <v>0</v>
      </c>
      <c r="K17" s="326" t="str">
        <f>'Scope 1'!M40</f>
        <v>EUR</v>
      </c>
      <c r="L17" s="320"/>
      <c r="M17" s="318">
        <f>IFERROR(VLOOKUP(E17,'Carbon Factors'!$B$2:$H$449,5,FALSE),0)</f>
        <v>0</v>
      </c>
      <c r="N17" s="319">
        <f>IFERROR(VLOOKUP(F17,'Carbon Factors'!$B$2:$H$449,5,FALSE),0)</f>
        <v>0</v>
      </c>
      <c r="O17" s="326">
        <f>IFERROR(VLOOKUP(G17,'Carbon Factors'!$B$2:$H$449,5,FALSE),0)</f>
        <v>0</v>
      </c>
      <c r="P17" s="323">
        <f>C17*M17</f>
        <v>0</v>
      </c>
      <c r="Q17" s="319">
        <f>IFERROR(VLOOKUP(E17,'Carbon Factors'!$B$2:$K$449,9,FALSE),0)</f>
        <v>0</v>
      </c>
      <c r="R17" s="319">
        <f>N17*H17</f>
        <v>0</v>
      </c>
      <c r="S17" s="319" t="str">
        <f>IFERROR(VLOOKUP((A17),'Carbon Factors'!$B$2:$K$449,9,FALSE),0)</f>
        <v>tCO2e</v>
      </c>
      <c r="T17" s="319">
        <f>O17*J17</f>
        <v>0</v>
      </c>
      <c r="U17" s="327">
        <f>IFERROR(VLOOKUP(G17,'Carbon Factors'!$B$2:$K$449,9,FALSE),0)</f>
        <v>0</v>
      </c>
      <c r="V17" s="318">
        <f>P17+R17+T17</f>
        <v>0</v>
      </c>
      <c r="W17" s="319">
        <f t="shared" si="5"/>
        <v>0</v>
      </c>
      <c r="X17" s="319">
        <f t="shared" si="6"/>
        <v>0</v>
      </c>
      <c r="Y17" s="319">
        <f>R17+T17</f>
        <v>0</v>
      </c>
      <c r="Z17" s="315">
        <f t="shared" ref="Z17:Z35" si="10">IFERROR(P17/V17,0)</f>
        <v>0</v>
      </c>
      <c r="AA17" s="561"/>
      <c r="AB17" s="314">
        <f>SUM(X17:X35)</f>
        <v>0</v>
      </c>
      <c r="AC17" s="314">
        <f>SUM(Y17:Y35)</f>
        <v>0</v>
      </c>
      <c r="AD17" s="314">
        <f>SUM(V17:V35)</f>
        <v>0</v>
      </c>
      <c r="AE17" s="315">
        <f>IFERROR(AB17/AD17,0)</f>
        <v>0</v>
      </c>
    </row>
    <row r="18" spans="1:31" ht="22" customHeight="1" x14ac:dyDescent="0.35">
      <c r="A18" s="316" t="s">
        <v>72</v>
      </c>
      <c r="B18" s="317" t="str" cm="1">
        <f t="array" ref="B18">IFERROR(_xlfn.IFS('Scope 1'!$C$40="Yes","YES",'Scope 1'!$C$40="Jah","YES", 'Scope 1'!$C$40="Taip","YES",'Scope 1'!$C$40="Jā","YES"),"NO")</f>
        <v>NO</v>
      </c>
      <c r="C18" s="322">
        <f>IF(B18="YES",'Scope 1'!E41,0)</f>
        <v>0</v>
      </c>
      <c r="D18" s="319">
        <f>'Scope 1'!F41</f>
        <v>0</v>
      </c>
      <c r="E18" s="319" t="str">
        <f t="shared" ref="E18:E35" si="11">IF(A18="Hybrid cars","Petrol "&amp;D18,A18&amp;" "&amp;D18)</f>
        <v>Diesel 0</v>
      </c>
      <c r="F18" s="319" t="str">
        <f>'Scope 1'!I41&amp;" - "&amp;A18</f>
        <v xml:space="preserve"> - Diesel</v>
      </c>
      <c r="G18" s="319" t="str">
        <f>Information!$F$12&amp;" - "&amp;"Other land transport"</f>
        <v xml:space="preserve"> - Other land transport</v>
      </c>
      <c r="H18" s="319">
        <f>IF(B18="YES",'Scope 1'!J41, 0)</f>
        <v>0</v>
      </c>
      <c r="I18" s="319" t="str">
        <f>'Scope 1'!K41</f>
        <v>km</v>
      </c>
      <c r="J18" s="319">
        <f>IF(B18="YES",'Scope 1'!L41,0)</f>
        <v>0</v>
      </c>
      <c r="K18" s="326" t="str">
        <f>'Scope 1'!M41</f>
        <v>EUR</v>
      </c>
      <c r="L18" s="320"/>
      <c r="M18" s="318">
        <f>IFERROR(VLOOKUP(E18,'Carbon Factors'!$B$2:$H$449,5,FALSE),0)</f>
        <v>0</v>
      </c>
      <c r="N18" s="319">
        <f>IFERROR(VLOOKUP(F18,'Carbon Factors'!$B$2:$H$449,5,FALSE),0)</f>
        <v>0</v>
      </c>
      <c r="O18" s="326">
        <f>IFERROR(VLOOKUP(G18,'Carbon Factors'!$B$2:$H$449,5,FALSE),0)</f>
        <v>0</v>
      </c>
      <c r="P18" s="323">
        <f t="shared" ref="P18:P32" si="12">C18*M18</f>
        <v>0</v>
      </c>
      <c r="Q18" s="319">
        <f>IFERROR(VLOOKUP(E18,'Carbon Factors'!$B$2:$K$449,9,FALSE),0)</f>
        <v>0</v>
      </c>
      <c r="R18" s="319">
        <f t="shared" ref="R18:R32" si="13">N18*H18</f>
        <v>0</v>
      </c>
      <c r="S18" s="319" t="str">
        <f>IFERROR(VLOOKUP((A18),'Carbon Factors'!$B$2:$K$449,9,FALSE),0)</f>
        <v>tCO2e</v>
      </c>
      <c r="T18" s="319">
        <f t="shared" ref="T18:T32" si="14">O18*J18</f>
        <v>0</v>
      </c>
      <c r="U18" s="327">
        <f>IFERROR(VLOOKUP(G18,'Carbon Factors'!$B$2:$K$449,9,FALSE),0)</f>
        <v>0</v>
      </c>
      <c r="V18" s="318">
        <f t="shared" ref="V18:V32" si="15">P18+R18+T18</f>
        <v>0</v>
      </c>
      <c r="W18" s="319">
        <f t="shared" si="5"/>
        <v>0</v>
      </c>
      <c r="X18" s="319">
        <f t="shared" ref="X18:X32" si="16">P18</f>
        <v>0</v>
      </c>
      <c r="Y18" s="319">
        <f t="shared" ref="Y18:Y32" si="17">R18+T18</f>
        <v>0</v>
      </c>
      <c r="Z18" s="315">
        <f t="shared" si="10"/>
        <v>0</v>
      </c>
    </row>
    <row r="19" spans="1:31" ht="22" customHeight="1" x14ac:dyDescent="0.35">
      <c r="A19" s="316" t="s">
        <v>72</v>
      </c>
      <c r="B19" s="317" t="str" cm="1">
        <f t="array" ref="B19">IFERROR(_xlfn.IFS('Scope 1'!$C$40="Yes","YES",'Scope 1'!$C$40="Jah","YES", 'Scope 1'!$C$40="Taip","YES",'Scope 1'!$C$40="Jā","YES"),"NO")</f>
        <v>NO</v>
      </c>
      <c r="C19" s="322">
        <f>IF(B19="YES",'Scope 1'!E42,0)</f>
        <v>0</v>
      </c>
      <c r="D19" s="319">
        <f>'Scope 1'!F42</f>
        <v>0</v>
      </c>
      <c r="E19" s="319" t="str">
        <f t="shared" si="11"/>
        <v>Diesel 0</v>
      </c>
      <c r="F19" s="319" t="str">
        <f>'Scope 1'!I42&amp;" - "&amp;A19</f>
        <v xml:space="preserve"> - Diesel</v>
      </c>
      <c r="G19" s="319" t="str">
        <f>Information!$F$12&amp;" - "&amp;"Other land transport"</f>
        <v xml:space="preserve"> - Other land transport</v>
      </c>
      <c r="H19" s="319">
        <f>IF(B19="YES",'Scope 1'!J42, 0)</f>
        <v>0</v>
      </c>
      <c r="I19" s="319" t="str">
        <f>'Scope 1'!K42</f>
        <v>km</v>
      </c>
      <c r="J19" s="319">
        <f>IF(B19="YES",'Scope 1'!L42,0)</f>
        <v>0</v>
      </c>
      <c r="K19" s="326" t="str">
        <f>'Scope 1'!M42</f>
        <v>EUR</v>
      </c>
      <c r="L19" s="320"/>
      <c r="M19" s="318">
        <f>IFERROR(VLOOKUP(E19,'Carbon Factors'!$B$2:$H$449,5,FALSE),0)</f>
        <v>0</v>
      </c>
      <c r="N19" s="319">
        <f>IFERROR(VLOOKUP(F19,'Carbon Factors'!$B$2:$H$449,5,FALSE),0)</f>
        <v>0</v>
      </c>
      <c r="O19" s="326">
        <f>IFERROR(VLOOKUP(G19,'Carbon Factors'!$B$2:$H$449,5,FALSE),0)</f>
        <v>0</v>
      </c>
      <c r="P19" s="323">
        <f t="shared" si="12"/>
        <v>0</v>
      </c>
      <c r="Q19" s="319">
        <f>IFERROR(VLOOKUP(E19,'Carbon Factors'!$B$2:$K$449,9,FALSE),0)</f>
        <v>0</v>
      </c>
      <c r="R19" s="319">
        <f t="shared" si="13"/>
        <v>0</v>
      </c>
      <c r="S19" s="319" t="str">
        <f>IFERROR(VLOOKUP((A19),'Carbon Factors'!$B$2:$K$449,9,FALSE),0)</f>
        <v>tCO2e</v>
      </c>
      <c r="T19" s="319">
        <f t="shared" si="14"/>
        <v>0</v>
      </c>
      <c r="U19" s="327">
        <f>IFERROR(VLOOKUP(G19,'Carbon Factors'!$B$2:$K$449,9,FALSE),0)</f>
        <v>0</v>
      </c>
      <c r="V19" s="318">
        <f t="shared" si="15"/>
        <v>0</v>
      </c>
      <c r="W19" s="319">
        <f t="shared" si="5"/>
        <v>0</v>
      </c>
      <c r="X19" s="319">
        <f t="shared" si="16"/>
        <v>0</v>
      </c>
      <c r="Y19" s="319">
        <f t="shared" si="17"/>
        <v>0</v>
      </c>
      <c r="Z19" s="315">
        <f t="shared" si="10"/>
        <v>0</v>
      </c>
    </row>
    <row r="20" spans="1:31" ht="22" customHeight="1" x14ac:dyDescent="0.35">
      <c r="A20" s="316" t="s">
        <v>73</v>
      </c>
      <c r="B20" s="317" t="str" cm="1">
        <f t="array" ref="B20">IFERROR(_xlfn.IFS('Scope 1'!$C$43="Yes","YES",'Scope 1'!$C$43="Jah","YES", 'Scope 1'!$C$43="Taip","YES",'Scope 1'!$C$43="Jā","YES"),"NO")</f>
        <v>NO</v>
      </c>
      <c r="C20" s="322">
        <f>IF(B20="YES",'Scope 1'!E43,0)</f>
        <v>0</v>
      </c>
      <c r="D20" s="319">
        <f>'Scope 1'!F43</f>
        <v>0</v>
      </c>
      <c r="E20" s="319" t="str">
        <f t="shared" si="11"/>
        <v>Petrol 0</v>
      </c>
      <c r="F20" s="319" t="str">
        <f>'Scope 1'!I43&amp;" - "&amp;A20</f>
        <v xml:space="preserve"> - Petrol</v>
      </c>
      <c r="G20" s="319" t="str">
        <f>Information!$F$12&amp;" - "&amp;"Other land transport"</f>
        <v xml:space="preserve"> - Other land transport</v>
      </c>
      <c r="H20" s="319">
        <f>IF(B20="YES",'Scope 1'!J43, 0)</f>
        <v>0</v>
      </c>
      <c r="I20" s="319" t="str">
        <f>'Scope 1'!K43</f>
        <v>km</v>
      </c>
      <c r="J20" s="319">
        <f>IF(B20="YES",'Scope 1'!L43,0)</f>
        <v>0</v>
      </c>
      <c r="K20" s="326" t="str">
        <f>'Scope 1'!M43</f>
        <v>EUR</v>
      </c>
      <c r="L20" s="320"/>
      <c r="M20" s="318">
        <f>IFERROR(VLOOKUP(E20,'Carbon Factors'!$B$2:$H$449,5,FALSE),0)</f>
        <v>0</v>
      </c>
      <c r="N20" s="319">
        <f>IFERROR(VLOOKUP(F20,'Carbon Factors'!$B$2:$H$449,5,FALSE),0)</f>
        <v>0</v>
      </c>
      <c r="O20" s="326">
        <f>IFERROR(VLOOKUP(G20,'Carbon Factors'!$B$2:$H$449,5,FALSE),0)</f>
        <v>0</v>
      </c>
      <c r="P20" s="323">
        <f t="shared" si="12"/>
        <v>0</v>
      </c>
      <c r="Q20" s="319">
        <f>IFERROR(VLOOKUP(E20,'Carbon Factors'!$B$2:$K$449,9,FALSE),0)</f>
        <v>0</v>
      </c>
      <c r="R20" s="319">
        <f t="shared" si="13"/>
        <v>0</v>
      </c>
      <c r="S20" s="319">
        <f>IFERROR(VLOOKUP((A20),'Carbon Factors'!$B$2:$K$449,9,FALSE),0)</f>
        <v>0</v>
      </c>
      <c r="T20" s="319">
        <f t="shared" si="14"/>
        <v>0</v>
      </c>
      <c r="U20" s="327">
        <f>IFERROR(VLOOKUP(G20,'Carbon Factors'!$B$2:$K$449,9,FALSE),0)</f>
        <v>0</v>
      </c>
      <c r="V20" s="318">
        <f t="shared" si="15"/>
        <v>0</v>
      </c>
      <c r="W20" s="319">
        <f t="shared" si="5"/>
        <v>0</v>
      </c>
      <c r="X20" s="319">
        <f t="shared" si="16"/>
        <v>0</v>
      </c>
      <c r="Y20" s="319">
        <f t="shared" si="17"/>
        <v>0</v>
      </c>
      <c r="Z20" s="315">
        <f t="shared" si="10"/>
        <v>0</v>
      </c>
    </row>
    <row r="21" spans="1:31" ht="22" customHeight="1" x14ac:dyDescent="0.35">
      <c r="A21" s="316" t="s">
        <v>73</v>
      </c>
      <c r="B21" s="317" t="str" cm="1">
        <f t="array" ref="B21">IFERROR(_xlfn.IFS('Scope 1'!$C$43="Yes","YES",'Scope 1'!$C$43="Jah","YES", 'Scope 1'!$C$43="Taip","YES",'Scope 1'!$C$43="Jā","YES"),"NO")</f>
        <v>NO</v>
      </c>
      <c r="C21" s="322">
        <f>IF(B21="YES",'Scope 1'!E44,0)</f>
        <v>0</v>
      </c>
      <c r="D21" s="319">
        <f>'Scope 1'!F44</f>
        <v>0</v>
      </c>
      <c r="E21" s="319" t="str">
        <f t="shared" si="11"/>
        <v>Petrol 0</v>
      </c>
      <c r="F21" s="319" t="str">
        <f>'Scope 1'!I44&amp;" - "&amp;A21</f>
        <v xml:space="preserve"> - Petrol</v>
      </c>
      <c r="G21" s="319" t="str">
        <f>Information!$F$12&amp;" - "&amp;"Other land transport"</f>
        <v xml:space="preserve"> - Other land transport</v>
      </c>
      <c r="H21" s="319">
        <f>IF(B21="YES",'Scope 1'!J44, 0)</f>
        <v>0</v>
      </c>
      <c r="I21" s="319" t="str">
        <f>'Scope 1'!K44</f>
        <v>km</v>
      </c>
      <c r="J21" s="319">
        <f>IF(B21="YES",'Scope 1'!L44,0)</f>
        <v>0</v>
      </c>
      <c r="K21" s="326" t="str">
        <f>'Scope 1'!M44</f>
        <v>EUR</v>
      </c>
      <c r="L21" s="320"/>
      <c r="M21" s="318">
        <f>IFERROR(VLOOKUP(E21,'Carbon Factors'!$B$2:$H$449,5,FALSE),0)</f>
        <v>0</v>
      </c>
      <c r="N21" s="319">
        <f>IFERROR(VLOOKUP(F21,'Carbon Factors'!$B$2:$H$449,5,FALSE),0)</f>
        <v>0</v>
      </c>
      <c r="O21" s="326">
        <f>IFERROR(VLOOKUP(G21,'Carbon Factors'!$B$2:$H$449,5,FALSE),0)</f>
        <v>0</v>
      </c>
      <c r="P21" s="323">
        <f t="shared" si="12"/>
        <v>0</v>
      </c>
      <c r="Q21" s="319">
        <f>IFERROR(VLOOKUP(E21,'Carbon Factors'!$B$2:$K$449,9,FALSE),0)</f>
        <v>0</v>
      </c>
      <c r="R21" s="319">
        <f t="shared" si="13"/>
        <v>0</v>
      </c>
      <c r="S21" s="319">
        <f>IFERROR(VLOOKUP((A21),'Carbon Factors'!$B$2:$K$449,9,FALSE),0)</f>
        <v>0</v>
      </c>
      <c r="T21" s="319">
        <f t="shared" si="14"/>
        <v>0</v>
      </c>
      <c r="U21" s="327">
        <f>IFERROR(VLOOKUP(G21,'Carbon Factors'!$B$2:$K$449,9,FALSE),0)</f>
        <v>0</v>
      </c>
      <c r="V21" s="318">
        <f t="shared" si="15"/>
        <v>0</v>
      </c>
      <c r="W21" s="319">
        <f t="shared" si="5"/>
        <v>0</v>
      </c>
      <c r="X21" s="319">
        <f t="shared" si="16"/>
        <v>0</v>
      </c>
      <c r="Y21" s="319">
        <f t="shared" si="17"/>
        <v>0</v>
      </c>
      <c r="Z21" s="315">
        <f t="shared" si="10"/>
        <v>0</v>
      </c>
    </row>
    <row r="22" spans="1:31" ht="22" customHeight="1" x14ac:dyDescent="0.35">
      <c r="A22" s="316" t="s">
        <v>73</v>
      </c>
      <c r="B22" s="317" t="str" cm="1">
        <f t="array" ref="B22">IFERROR(_xlfn.IFS('Scope 1'!$C$43="Yes","YES",'Scope 1'!$C$43="Jah","YES", 'Scope 1'!$C$43="Taip","YES",'Scope 1'!$C$43="Jā","YES"),"NO")</f>
        <v>NO</v>
      </c>
      <c r="C22" s="322">
        <f>IF(B22="YES",'Scope 1'!E45,0)</f>
        <v>0</v>
      </c>
      <c r="D22" s="319">
        <f>'Scope 1'!F45</f>
        <v>0</v>
      </c>
      <c r="E22" s="319" t="str">
        <f t="shared" si="11"/>
        <v>Petrol 0</v>
      </c>
      <c r="F22" s="319" t="str">
        <f>'Scope 1'!I45&amp;" - "&amp;A22</f>
        <v xml:space="preserve"> - Petrol</v>
      </c>
      <c r="G22" s="319" t="str">
        <f>Information!$F$12&amp;" - "&amp;"Other land transport"</f>
        <v xml:space="preserve"> - Other land transport</v>
      </c>
      <c r="H22" s="319">
        <f>IF(B22="YES",'Scope 1'!J45, 0)</f>
        <v>0</v>
      </c>
      <c r="I22" s="319" t="str">
        <f>'Scope 1'!K45</f>
        <v>km</v>
      </c>
      <c r="J22" s="319">
        <f>IF(B22="YES",'Scope 1'!L45,0)</f>
        <v>0</v>
      </c>
      <c r="K22" s="326" t="str">
        <f>'Scope 1'!M45</f>
        <v>EUR</v>
      </c>
      <c r="L22" s="320"/>
      <c r="M22" s="318">
        <f>IFERROR(VLOOKUP(E22,'Carbon Factors'!$B$2:$H$449,5,FALSE),0)</f>
        <v>0</v>
      </c>
      <c r="N22" s="319">
        <f>IFERROR(VLOOKUP(F22,'Carbon Factors'!$B$2:$H$449,5,FALSE),0)</f>
        <v>0</v>
      </c>
      <c r="O22" s="326">
        <f>IFERROR(VLOOKUP(G22,'Carbon Factors'!$B$2:$H$449,5,FALSE),0)</f>
        <v>0</v>
      </c>
      <c r="P22" s="323">
        <f t="shared" si="12"/>
        <v>0</v>
      </c>
      <c r="Q22" s="319">
        <f>IFERROR(VLOOKUP(E22,'Carbon Factors'!$B$2:$K$449,9,FALSE),0)</f>
        <v>0</v>
      </c>
      <c r="R22" s="319">
        <f t="shared" si="13"/>
        <v>0</v>
      </c>
      <c r="S22" s="319">
        <f>IFERROR(VLOOKUP((A22),'Carbon Factors'!$B$2:$K$449,9,FALSE),0)</f>
        <v>0</v>
      </c>
      <c r="T22" s="319">
        <f t="shared" si="14"/>
        <v>0</v>
      </c>
      <c r="U22" s="327">
        <f>IFERROR(VLOOKUP(G22,'Carbon Factors'!$B$2:$K$449,9,FALSE),0)</f>
        <v>0</v>
      </c>
      <c r="V22" s="318">
        <f t="shared" si="15"/>
        <v>0</v>
      </c>
      <c r="W22" s="319">
        <f t="shared" si="5"/>
        <v>0</v>
      </c>
      <c r="X22" s="319">
        <f t="shared" si="16"/>
        <v>0</v>
      </c>
      <c r="Y22" s="319">
        <f t="shared" si="17"/>
        <v>0</v>
      </c>
      <c r="Z22" s="315">
        <f t="shared" si="10"/>
        <v>0</v>
      </c>
    </row>
    <row r="23" spans="1:31" ht="22" customHeight="1" x14ac:dyDescent="0.35">
      <c r="A23" s="316" t="s">
        <v>74</v>
      </c>
      <c r="B23" s="317" t="str" cm="1">
        <f t="array" ref="B23">IFERROR(_xlfn.IFS('Scope 1'!$C$46="Yes","YES",'Scope 1'!$C$46="Jah","YES", 'Scope 1'!$C$46="Taip","YES",'Scope 1'!$C$46="Jā","YES"),"NO")</f>
        <v>NO</v>
      </c>
      <c r="C23" s="322">
        <f>IF(B23="YES",'Scope 1'!E46,0)</f>
        <v>0</v>
      </c>
      <c r="D23" s="319">
        <f>'Scope 1'!F46</f>
        <v>0</v>
      </c>
      <c r="E23" s="319" t="str">
        <f t="shared" si="11"/>
        <v>LNG 0</v>
      </c>
      <c r="F23" s="320"/>
      <c r="G23" s="319" t="str">
        <f>Information!$F$12&amp;" - "&amp;"Other land transport"</f>
        <v xml:space="preserve"> - Other land transport</v>
      </c>
      <c r="H23" s="320"/>
      <c r="I23" s="320"/>
      <c r="J23" s="319">
        <f>IF(B23="YES",'Scope 1'!L46,0)</f>
        <v>0</v>
      </c>
      <c r="K23" s="326" t="str">
        <f>'Scope 1'!M46</f>
        <v>EUR</v>
      </c>
      <c r="L23" s="320"/>
      <c r="M23" s="318">
        <f>IFERROR(VLOOKUP(E23,'Carbon Factors'!$B$2:$H$449,5,FALSE),0)</f>
        <v>0</v>
      </c>
      <c r="N23" s="320"/>
      <c r="O23" s="326">
        <f>IFERROR(VLOOKUP(G23,'Carbon Factors'!$B$2:$H$449,5,FALSE),0)</f>
        <v>0</v>
      </c>
      <c r="P23" s="323">
        <f t="shared" si="12"/>
        <v>0</v>
      </c>
      <c r="Q23" s="319">
        <f>IFERROR(VLOOKUP(E23,'Carbon Factors'!$B$2:$K$449,9,FALSE),0)</f>
        <v>0</v>
      </c>
      <c r="R23" s="320"/>
      <c r="S23" s="320"/>
      <c r="T23" s="320"/>
      <c r="U23" s="320"/>
      <c r="V23" s="318">
        <f t="shared" si="15"/>
        <v>0</v>
      </c>
      <c r="W23" s="319">
        <f t="shared" si="5"/>
        <v>0</v>
      </c>
      <c r="X23" s="319">
        <f t="shared" si="16"/>
        <v>0</v>
      </c>
      <c r="Y23" s="319">
        <f t="shared" si="17"/>
        <v>0</v>
      </c>
      <c r="Z23" s="315">
        <f t="shared" si="10"/>
        <v>0</v>
      </c>
    </row>
    <row r="24" spans="1:31" ht="22" customHeight="1" x14ac:dyDescent="0.35">
      <c r="A24" s="316" t="s">
        <v>74</v>
      </c>
      <c r="B24" s="317" t="str" cm="1">
        <f t="array" ref="B24">IFERROR(_xlfn.IFS('Scope 1'!$C$46="Yes","YES",'Scope 1'!$C$46="Jah","YES", 'Scope 1'!$C$46="Taip","YES",'Scope 1'!$C$46="Jā","YES"),"NO")</f>
        <v>NO</v>
      </c>
      <c r="C24" s="322">
        <f>IF(B24="YES",'Scope 1'!E47,0)</f>
        <v>0</v>
      </c>
      <c r="D24" s="319">
        <f>'Scope 1'!F47</f>
        <v>0</v>
      </c>
      <c r="E24" s="319" t="str">
        <f t="shared" si="11"/>
        <v>LNG 0</v>
      </c>
      <c r="F24" s="320"/>
      <c r="G24" s="319" t="str">
        <f>Information!$F$12&amp;" - "&amp;"Other land transport"</f>
        <v xml:space="preserve"> - Other land transport</v>
      </c>
      <c r="H24" s="320"/>
      <c r="I24" s="320"/>
      <c r="J24" s="319">
        <f>IF(B24="YES",'Scope 1'!L47,0)</f>
        <v>0</v>
      </c>
      <c r="K24" s="326" t="str">
        <f>'Scope 1'!M47</f>
        <v>EUR</v>
      </c>
      <c r="L24" s="320"/>
      <c r="M24" s="318">
        <f>IFERROR(VLOOKUP(E24,'Carbon Factors'!$B$2:$H$449,5,FALSE),0)</f>
        <v>0</v>
      </c>
      <c r="N24" s="320"/>
      <c r="O24" s="326">
        <f>IFERROR(VLOOKUP(G24,'Carbon Factors'!$B$2:$H$449,5,FALSE),0)</f>
        <v>0</v>
      </c>
      <c r="P24" s="323">
        <f t="shared" si="12"/>
        <v>0</v>
      </c>
      <c r="Q24" s="319">
        <f>IFERROR(VLOOKUP(E24,'Carbon Factors'!$B$2:$K$449,9,FALSE),0)</f>
        <v>0</v>
      </c>
      <c r="R24" s="320"/>
      <c r="S24" s="320"/>
      <c r="T24" s="320"/>
      <c r="U24" s="320"/>
      <c r="V24" s="318">
        <f t="shared" si="15"/>
        <v>0</v>
      </c>
      <c r="W24" s="319">
        <f t="shared" si="5"/>
        <v>0</v>
      </c>
      <c r="X24" s="319">
        <f t="shared" si="16"/>
        <v>0</v>
      </c>
      <c r="Y24" s="319">
        <f t="shared" si="17"/>
        <v>0</v>
      </c>
      <c r="Z24" s="315">
        <f t="shared" si="10"/>
        <v>0</v>
      </c>
    </row>
    <row r="25" spans="1:31" ht="22" customHeight="1" x14ac:dyDescent="0.35">
      <c r="A25" s="316" t="s">
        <v>74</v>
      </c>
      <c r="B25" s="317" t="str" cm="1">
        <f t="array" ref="B25">IFERROR(_xlfn.IFS('Scope 1'!$C$46="Yes","YES",'Scope 1'!$C$46="Jah","YES", 'Scope 1'!$C$46="Taip","YES",'Scope 1'!$C$46="Jā","YES"),"NO")</f>
        <v>NO</v>
      </c>
      <c r="C25" s="322">
        <f>IF(B25="YES",'Scope 1'!E48,0)</f>
        <v>0</v>
      </c>
      <c r="D25" s="319">
        <f>'Scope 1'!F48</f>
        <v>0</v>
      </c>
      <c r="E25" s="319" t="str">
        <f t="shared" si="11"/>
        <v>LNG 0</v>
      </c>
      <c r="F25" s="320"/>
      <c r="G25" s="319" t="str">
        <f>Information!$F$12&amp;" - "&amp;"Other land transport"</f>
        <v xml:space="preserve"> - Other land transport</v>
      </c>
      <c r="H25" s="320"/>
      <c r="I25" s="320"/>
      <c r="J25" s="319">
        <f>IF(B25="YES",'Scope 1'!L48,0)</f>
        <v>0</v>
      </c>
      <c r="K25" s="326" t="str">
        <f>'Scope 1'!M48</f>
        <v>EUR</v>
      </c>
      <c r="L25" s="320"/>
      <c r="M25" s="318">
        <f>IFERROR(VLOOKUP(E25,'Carbon Factors'!$B$2:$H$449,5,FALSE),0)</f>
        <v>0</v>
      </c>
      <c r="N25" s="320"/>
      <c r="O25" s="326">
        <f>IFERROR(VLOOKUP(G25,'Carbon Factors'!$B$2:$H$449,5,FALSE),0)</f>
        <v>0</v>
      </c>
      <c r="P25" s="323">
        <f t="shared" si="12"/>
        <v>0</v>
      </c>
      <c r="Q25" s="319">
        <f>IFERROR(VLOOKUP(E25,'Carbon Factors'!$B$2:$K$449,9,FALSE),0)</f>
        <v>0</v>
      </c>
      <c r="R25" s="320"/>
      <c r="S25" s="320"/>
      <c r="T25" s="320"/>
      <c r="U25" s="320"/>
      <c r="V25" s="318">
        <f t="shared" si="15"/>
        <v>0</v>
      </c>
      <c r="W25" s="319">
        <f t="shared" si="5"/>
        <v>0</v>
      </c>
      <c r="X25" s="319">
        <f t="shared" si="16"/>
        <v>0</v>
      </c>
      <c r="Y25" s="319">
        <f t="shared" si="17"/>
        <v>0</v>
      </c>
      <c r="Z25" s="315">
        <f t="shared" si="10"/>
        <v>0</v>
      </c>
    </row>
    <row r="26" spans="1:31" ht="22" customHeight="1" x14ac:dyDescent="0.35">
      <c r="A26" s="316" t="s">
        <v>62</v>
      </c>
      <c r="B26" s="317" t="str" cm="1">
        <f t="array" ref="B26">IFERROR(_xlfn.IFS('Scope 1'!$C$49="Yes","YES",'Scope 1'!$C$49="Jah","YES", 'Scope 1'!$C$49="Taip","YES",'Scope 1'!$C$49="Jā","YES"),"NO")</f>
        <v>NO</v>
      </c>
      <c r="C26" s="322">
        <f>IF(B26="YES",'Scope 1'!E49,0)</f>
        <v>0</v>
      </c>
      <c r="D26" s="319">
        <f>'Scope 1'!F49</f>
        <v>0</v>
      </c>
      <c r="E26" s="319" t="str">
        <f t="shared" si="11"/>
        <v>LPG 0</v>
      </c>
      <c r="F26" s="319" t="str">
        <f>'Scope 1'!I49&amp;" - "&amp;A26</f>
        <v xml:space="preserve"> - LPG</v>
      </c>
      <c r="G26" s="319" t="str">
        <f>Information!$F$12&amp;" - "&amp;"Other land transport"</f>
        <v xml:space="preserve"> - Other land transport</v>
      </c>
      <c r="H26" s="319">
        <f>IF(B26="YES", 'Scope 1'!J49, 0)</f>
        <v>0</v>
      </c>
      <c r="I26" s="319" t="str">
        <f>'Scope 1'!K49</f>
        <v>km</v>
      </c>
      <c r="J26" s="319">
        <f>IF(B26="YES",'Scope 1'!L49,0)</f>
        <v>0</v>
      </c>
      <c r="K26" s="326" t="str">
        <f>'Scope 1'!M49</f>
        <v>EUR</v>
      </c>
      <c r="L26" s="320"/>
      <c r="M26" s="318">
        <f>IFERROR(VLOOKUP(E26,'Carbon Factors'!$B$2:$H$449,5,FALSE),0)</f>
        <v>0</v>
      </c>
      <c r="N26" s="319">
        <f>IFERROR(VLOOKUP(F26,'Carbon Factors'!$B$2:$H$449,5,FALSE),0)</f>
        <v>0</v>
      </c>
      <c r="O26" s="326">
        <f>IFERROR(VLOOKUP(G26,'Carbon Factors'!$B$2:$H$449,5,FALSE),0)</f>
        <v>0</v>
      </c>
      <c r="P26" s="323">
        <f t="shared" si="12"/>
        <v>0</v>
      </c>
      <c r="Q26" s="319">
        <f>IFERROR(VLOOKUP(E26,'Carbon Factors'!$B$2:$K$449,9,FALSE),0)</f>
        <v>0</v>
      </c>
      <c r="R26" s="319">
        <f t="shared" si="13"/>
        <v>0</v>
      </c>
      <c r="S26" s="319">
        <f>IFERROR(VLOOKUP((A26),'Carbon Factors'!$B$2:$K$449,9,FALSE),0)</f>
        <v>0</v>
      </c>
      <c r="T26" s="319">
        <f t="shared" si="14"/>
        <v>0</v>
      </c>
      <c r="U26" s="327">
        <f>IFERROR(VLOOKUP(G26,'Carbon Factors'!$B$2:$K$449,9,FALSE),0)</f>
        <v>0</v>
      </c>
      <c r="V26" s="318">
        <f t="shared" si="15"/>
        <v>0</v>
      </c>
      <c r="W26" s="319">
        <f t="shared" si="5"/>
        <v>0</v>
      </c>
      <c r="X26" s="319">
        <f t="shared" si="16"/>
        <v>0</v>
      </c>
      <c r="Y26" s="319">
        <f t="shared" si="17"/>
        <v>0</v>
      </c>
      <c r="Z26" s="315">
        <f t="shared" si="10"/>
        <v>0</v>
      </c>
    </row>
    <row r="27" spans="1:31" ht="22" customHeight="1" x14ac:dyDescent="0.35">
      <c r="A27" s="316" t="s">
        <v>62</v>
      </c>
      <c r="B27" s="317" t="str" cm="1">
        <f t="array" ref="B27">IFERROR(_xlfn.IFS('Scope 1'!$C$49="Yes","YES",'Scope 1'!$C$49="Jah","YES", 'Scope 1'!$C$49="Taip","YES",'Scope 1'!$C$49="Jā","YES"),"NO")</f>
        <v>NO</v>
      </c>
      <c r="C27" s="322">
        <f>IF(B27="YES",'Scope 1'!E50,0)</f>
        <v>0</v>
      </c>
      <c r="D27" s="319">
        <f>'Scope 1'!F50</f>
        <v>0</v>
      </c>
      <c r="E27" s="319" t="str">
        <f t="shared" si="11"/>
        <v>LPG 0</v>
      </c>
      <c r="F27" s="319" t="str">
        <f>'Scope 1'!I50&amp;" - "&amp;A27</f>
        <v xml:space="preserve"> - LPG</v>
      </c>
      <c r="G27" s="319" t="str">
        <f>Information!$F$12&amp;" - "&amp;"Other land transport"</f>
        <v xml:space="preserve"> - Other land transport</v>
      </c>
      <c r="H27" s="319">
        <f>IF(B27="YES", 'Scope 1'!J50, 0)</f>
        <v>0</v>
      </c>
      <c r="I27" s="319" t="str">
        <f>'Scope 1'!K50</f>
        <v>km</v>
      </c>
      <c r="J27" s="319">
        <f>IF(B27="YES",'Scope 1'!L50,0)</f>
        <v>0</v>
      </c>
      <c r="K27" s="326" t="str">
        <f>'Scope 1'!M50</f>
        <v>EUR</v>
      </c>
      <c r="L27" s="320"/>
      <c r="M27" s="318">
        <f>IFERROR(VLOOKUP(E27,'Carbon Factors'!$B$2:$H$449,5,FALSE),0)</f>
        <v>0</v>
      </c>
      <c r="N27" s="319">
        <f>IFERROR(VLOOKUP(F27,'Carbon Factors'!$B$2:$H$449,5,FALSE),0)</f>
        <v>0</v>
      </c>
      <c r="O27" s="326">
        <f>IFERROR(VLOOKUP(G27,'Carbon Factors'!$B$2:$H$449,5,FALSE),0)</f>
        <v>0</v>
      </c>
      <c r="P27" s="323">
        <f t="shared" si="12"/>
        <v>0</v>
      </c>
      <c r="Q27" s="319">
        <f>IFERROR(VLOOKUP(E27,'Carbon Factors'!$B$2:$K$449,9,FALSE),0)</f>
        <v>0</v>
      </c>
      <c r="R27" s="319">
        <f t="shared" si="13"/>
        <v>0</v>
      </c>
      <c r="S27" s="319">
        <f>IFERROR(VLOOKUP((A27),'Carbon Factors'!$B$2:$K$449,9,FALSE),0)</f>
        <v>0</v>
      </c>
      <c r="T27" s="319">
        <f t="shared" si="14"/>
        <v>0</v>
      </c>
      <c r="U27" s="327">
        <f>IFERROR(VLOOKUP(G27,'Carbon Factors'!$B$2:$K$449,9,FALSE),0)</f>
        <v>0</v>
      </c>
      <c r="V27" s="318">
        <f t="shared" si="15"/>
        <v>0</v>
      </c>
      <c r="W27" s="319">
        <f t="shared" si="5"/>
        <v>0</v>
      </c>
      <c r="X27" s="319">
        <f t="shared" si="16"/>
        <v>0</v>
      </c>
      <c r="Y27" s="319">
        <f t="shared" si="17"/>
        <v>0</v>
      </c>
      <c r="Z27" s="315">
        <f t="shared" si="10"/>
        <v>0</v>
      </c>
    </row>
    <row r="28" spans="1:31" ht="22" customHeight="1" x14ac:dyDescent="0.35">
      <c r="A28" s="316" t="s">
        <v>62</v>
      </c>
      <c r="B28" s="317" t="str" cm="1">
        <f t="array" ref="B28">IFERROR(_xlfn.IFS('Scope 1'!$C$49="Yes","YES",'Scope 1'!$C$49="Jah","YES", 'Scope 1'!$C$49="Taip","YES",'Scope 1'!$C$49="Jā","YES"),"NO")</f>
        <v>NO</v>
      </c>
      <c r="C28" s="322">
        <f>IF(B28="YES",'Scope 1'!E51,0)</f>
        <v>0</v>
      </c>
      <c r="D28" s="319">
        <f>'Scope 1'!F51</f>
        <v>0</v>
      </c>
      <c r="E28" s="319" t="str">
        <f t="shared" si="11"/>
        <v>LPG 0</v>
      </c>
      <c r="F28" s="319" t="str">
        <f>'Scope 1'!I51&amp;" - "&amp;A28</f>
        <v xml:space="preserve"> - LPG</v>
      </c>
      <c r="G28" s="319" t="str">
        <f>Information!$F$12&amp;" - "&amp;"Other land transport"</f>
        <v xml:space="preserve"> - Other land transport</v>
      </c>
      <c r="H28" s="319">
        <f>IF(B28="YES", 'Scope 1'!J51, 0)</f>
        <v>0</v>
      </c>
      <c r="I28" s="319" t="str">
        <f>'Scope 1'!K51</f>
        <v>km</v>
      </c>
      <c r="J28" s="319">
        <f>IF(B28="YES",'Scope 1'!L51,0)</f>
        <v>0</v>
      </c>
      <c r="K28" s="326" t="str">
        <f>'Scope 1'!M51</f>
        <v>EUR</v>
      </c>
      <c r="L28" s="320"/>
      <c r="M28" s="318">
        <f>IFERROR(VLOOKUP(E28,'Carbon Factors'!$B$2:$H$449,5,FALSE),0)</f>
        <v>0</v>
      </c>
      <c r="N28" s="319">
        <f>IFERROR(VLOOKUP(F28,'Carbon Factors'!$B$2:$H$449,5,FALSE),0)</f>
        <v>0</v>
      </c>
      <c r="O28" s="326">
        <f>IFERROR(VLOOKUP(G28,'Carbon Factors'!$B$2:$H$449,5,FALSE),0)</f>
        <v>0</v>
      </c>
      <c r="P28" s="323">
        <f t="shared" si="12"/>
        <v>0</v>
      </c>
      <c r="Q28" s="319">
        <f>IFERROR(VLOOKUP(E28,'Carbon Factors'!$B$2:$K$449,9,FALSE),0)</f>
        <v>0</v>
      </c>
      <c r="R28" s="319">
        <f t="shared" si="13"/>
        <v>0</v>
      </c>
      <c r="S28" s="319">
        <f>IFERROR(VLOOKUP((A28),'Carbon Factors'!$B$2:$K$449,9,FALSE),0)</f>
        <v>0</v>
      </c>
      <c r="T28" s="319">
        <f t="shared" si="14"/>
        <v>0</v>
      </c>
      <c r="U28" s="327">
        <f>IFERROR(VLOOKUP(G28,'Carbon Factors'!$B$2:$K$449,9,FALSE),0)</f>
        <v>0</v>
      </c>
      <c r="V28" s="318">
        <f t="shared" si="15"/>
        <v>0</v>
      </c>
      <c r="W28" s="319">
        <f t="shared" si="5"/>
        <v>0</v>
      </c>
      <c r="X28" s="319">
        <f t="shared" si="16"/>
        <v>0</v>
      </c>
      <c r="Y28" s="319">
        <f t="shared" si="17"/>
        <v>0</v>
      </c>
      <c r="Z28" s="315">
        <f t="shared" si="10"/>
        <v>0</v>
      </c>
    </row>
    <row r="29" spans="1:31" ht="22" customHeight="1" x14ac:dyDescent="0.35">
      <c r="A29" s="316" t="s">
        <v>75</v>
      </c>
      <c r="B29" s="317" t="str" cm="1">
        <f t="array" ref="B29">IFERROR(_xlfn.IFS('Scope 1'!$C$52="Yes","YES",'Scope 1'!$C$52="Jah","YES", 'Scope 1'!$C$52="Taip","YES",'Scope 1'!$C$52="Jā","YES"),"NO")</f>
        <v>NO</v>
      </c>
      <c r="C29" s="322">
        <f>IF(B29="YES",'Scope 1'!E52,0)</f>
        <v>0</v>
      </c>
      <c r="D29" s="319">
        <f>'Scope 1'!F52</f>
        <v>0</v>
      </c>
      <c r="E29" s="319" t="str">
        <f t="shared" si="11"/>
        <v>CNG 0</v>
      </c>
      <c r="F29" s="319" t="str">
        <f>'Scope 1'!I52&amp;" - "&amp;A29</f>
        <v xml:space="preserve"> - CNG</v>
      </c>
      <c r="G29" s="319" t="str">
        <f>Information!$F$12&amp;" - "&amp;"Other land transport"</f>
        <v xml:space="preserve"> - Other land transport</v>
      </c>
      <c r="H29" s="319">
        <f>IF(B29="YES", 'Scope 1'!J52, 0)</f>
        <v>0</v>
      </c>
      <c r="I29" s="319" t="str">
        <f>'Scope 1'!K52</f>
        <v>km</v>
      </c>
      <c r="J29" s="319">
        <f>IF(B29="YES",'Scope 1'!L52,0)</f>
        <v>0</v>
      </c>
      <c r="K29" s="326" t="str">
        <f>'Scope 1'!M52</f>
        <v>EUR</v>
      </c>
      <c r="L29" s="320"/>
      <c r="M29" s="318">
        <f>IFERROR(VLOOKUP(E29,'Carbon Factors'!$B$2:$H$449,5,FALSE),0)</f>
        <v>0</v>
      </c>
      <c r="N29" s="319">
        <f>IFERROR(VLOOKUP(F29,'Carbon Factors'!$B$2:$H$449,5,FALSE),0)</f>
        <v>0</v>
      </c>
      <c r="O29" s="326">
        <f>IFERROR(VLOOKUP(G29,'Carbon Factors'!$B$2:$H$449,5,FALSE),0)</f>
        <v>0</v>
      </c>
      <c r="P29" s="323">
        <f t="shared" si="12"/>
        <v>0</v>
      </c>
      <c r="Q29" s="319">
        <f>IFERROR(VLOOKUP(E29,'Carbon Factors'!$B$2:$K$449,9,FALSE),0)</f>
        <v>0</v>
      </c>
      <c r="R29" s="319">
        <f t="shared" si="13"/>
        <v>0</v>
      </c>
      <c r="S29" s="319">
        <f>IFERROR(VLOOKUP((A29),'Carbon Factors'!$B$2:$K$449,9,FALSE),0)</f>
        <v>0</v>
      </c>
      <c r="T29" s="319">
        <f t="shared" si="14"/>
        <v>0</v>
      </c>
      <c r="U29" s="327">
        <f>IFERROR(VLOOKUP(G29,'Carbon Factors'!$B$2:$K$449,9,FALSE),0)</f>
        <v>0</v>
      </c>
      <c r="V29" s="318">
        <f t="shared" si="15"/>
        <v>0</v>
      </c>
      <c r="W29" s="319">
        <f t="shared" si="5"/>
        <v>0</v>
      </c>
      <c r="X29" s="319">
        <f t="shared" si="16"/>
        <v>0</v>
      </c>
      <c r="Y29" s="319">
        <f t="shared" si="17"/>
        <v>0</v>
      </c>
      <c r="Z29" s="315">
        <f t="shared" si="10"/>
        <v>0</v>
      </c>
    </row>
    <row r="30" spans="1:31" ht="22" customHeight="1" x14ac:dyDescent="0.35">
      <c r="A30" s="316" t="s">
        <v>75</v>
      </c>
      <c r="B30" s="317" t="str" cm="1">
        <f t="array" ref="B30">IFERROR(_xlfn.IFS('Scope 1'!$C$52="Yes","YES",'Scope 1'!$C$52="Jah","YES", 'Scope 1'!$C$52="Taip","YES",'Scope 1'!$C$52="Jā","YES"),"NO")</f>
        <v>NO</v>
      </c>
      <c r="C30" s="322">
        <f>IF(B30="YES",'Scope 1'!E53,0)</f>
        <v>0</v>
      </c>
      <c r="D30" s="319">
        <f>'Scope 1'!F53</f>
        <v>0</v>
      </c>
      <c r="E30" s="319" t="str">
        <f t="shared" si="11"/>
        <v>CNG 0</v>
      </c>
      <c r="F30" s="319" t="str">
        <f>'Scope 1'!I53&amp;" - "&amp;A30</f>
        <v xml:space="preserve"> - CNG</v>
      </c>
      <c r="G30" s="319" t="str">
        <f>Information!$F$12&amp;" - "&amp;"Other land transport"</f>
        <v xml:space="preserve"> - Other land transport</v>
      </c>
      <c r="H30" s="319">
        <f>IF(B30="YES", 'Scope 1'!J53, 0)</f>
        <v>0</v>
      </c>
      <c r="I30" s="319" t="str">
        <f>'Scope 1'!K53</f>
        <v>km</v>
      </c>
      <c r="J30" s="319">
        <f>IF(B30="YES",'Scope 1'!L53,0)</f>
        <v>0</v>
      </c>
      <c r="K30" s="326" t="str">
        <f>'Scope 1'!M53</f>
        <v>EUR</v>
      </c>
      <c r="L30" s="320"/>
      <c r="M30" s="318">
        <f>IFERROR(VLOOKUP(E30,'Carbon Factors'!$B$2:$H$449,5,FALSE),0)</f>
        <v>0</v>
      </c>
      <c r="N30" s="319">
        <f>IFERROR(VLOOKUP(F30,'Carbon Factors'!$B$2:$H$449,5,FALSE),0)</f>
        <v>0</v>
      </c>
      <c r="O30" s="326">
        <f>IFERROR(VLOOKUP(G30,'Carbon Factors'!$B$2:$H$449,5,FALSE),0)</f>
        <v>0</v>
      </c>
      <c r="P30" s="323">
        <f t="shared" si="12"/>
        <v>0</v>
      </c>
      <c r="Q30" s="319">
        <f>IFERROR(VLOOKUP(E30,'Carbon Factors'!$B$2:$K$449,9,FALSE),0)</f>
        <v>0</v>
      </c>
      <c r="R30" s="319">
        <f t="shared" si="13"/>
        <v>0</v>
      </c>
      <c r="S30" s="319">
        <f>IFERROR(VLOOKUP((A30),'Carbon Factors'!$B$2:$K$449,9,FALSE),0)</f>
        <v>0</v>
      </c>
      <c r="T30" s="319">
        <f t="shared" si="14"/>
        <v>0</v>
      </c>
      <c r="U30" s="327">
        <f>IFERROR(VLOOKUP(G30,'Carbon Factors'!$B$2:$K$449,9,FALSE),0)</f>
        <v>0</v>
      </c>
      <c r="V30" s="318">
        <f t="shared" si="15"/>
        <v>0</v>
      </c>
      <c r="W30" s="319">
        <f t="shared" si="5"/>
        <v>0</v>
      </c>
      <c r="X30" s="319">
        <f t="shared" si="16"/>
        <v>0</v>
      </c>
      <c r="Y30" s="319">
        <f t="shared" si="17"/>
        <v>0</v>
      </c>
      <c r="Z30" s="315">
        <f t="shared" si="10"/>
        <v>0</v>
      </c>
    </row>
    <row r="31" spans="1:31" ht="22" customHeight="1" x14ac:dyDescent="0.35">
      <c r="A31" s="316" t="s">
        <v>75</v>
      </c>
      <c r="B31" s="317" t="str" cm="1">
        <f t="array" ref="B31">IFERROR(_xlfn.IFS('Scope 1'!$C$52="Yes","YES",'Scope 1'!$C$52="Jah","YES", 'Scope 1'!$C$52="Taip","YES",'Scope 1'!$C$52="Jā","YES"),"NO")</f>
        <v>NO</v>
      </c>
      <c r="C31" s="322">
        <f>IF(B31="YES",'Scope 1'!E54,0)</f>
        <v>0</v>
      </c>
      <c r="D31" s="319">
        <f>'Scope 1'!F54</f>
        <v>0</v>
      </c>
      <c r="E31" s="319" t="str">
        <f t="shared" si="11"/>
        <v>CNG 0</v>
      </c>
      <c r="F31" s="319" t="str">
        <f>'Scope 1'!I54&amp;" - "&amp;A31</f>
        <v xml:space="preserve"> - CNG</v>
      </c>
      <c r="G31" s="319" t="str">
        <f>Information!$F$12&amp;" - "&amp;"Other land transport"</f>
        <v xml:space="preserve"> - Other land transport</v>
      </c>
      <c r="H31" s="319">
        <f>IF(B31="YES", 'Scope 1'!J54, 0)</f>
        <v>0</v>
      </c>
      <c r="I31" s="319" t="str">
        <f>'Scope 1'!K54</f>
        <v>km</v>
      </c>
      <c r="J31" s="319">
        <f>IF(B31="YES",'Scope 1'!L54,0)</f>
        <v>0</v>
      </c>
      <c r="K31" s="326" t="str">
        <f>'Scope 1'!M54</f>
        <v>EUR</v>
      </c>
      <c r="L31" s="320"/>
      <c r="M31" s="318">
        <f>IFERROR(VLOOKUP(E31,'Carbon Factors'!$B$2:$H$449,5,FALSE),0)</f>
        <v>0</v>
      </c>
      <c r="N31" s="319">
        <f>IFERROR(VLOOKUP(F31,'Carbon Factors'!$B$2:$H$449,5,FALSE),0)</f>
        <v>0</v>
      </c>
      <c r="O31" s="326">
        <f>IFERROR(VLOOKUP(G31,'Carbon Factors'!$B$2:$H$449,5,FALSE),0)</f>
        <v>0</v>
      </c>
      <c r="P31" s="323">
        <f t="shared" si="12"/>
        <v>0</v>
      </c>
      <c r="Q31" s="319">
        <f>IFERROR(VLOOKUP(E31,'Carbon Factors'!$B$2:$K$449,9,FALSE),0)</f>
        <v>0</v>
      </c>
      <c r="R31" s="319">
        <f t="shared" si="13"/>
        <v>0</v>
      </c>
      <c r="S31" s="319">
        <f>IFERROR(VLOOKUP((A31),'Carbon Factors'!$B$2:$K$449,9,FALSE),0)</f>
        <v>0</v>
      </c>
      <c r="T31" s="319">
        <f t="shared" si="14"/>
        <v>0</v>
      </c>
      <c r="U31" s="327">
        <f>IFERROR(VLOOKUP(G31,'Carbon Factors'!$B$2:$K$449,9,FALSE),0)</f>
        <v>0</v>
      </c>
      <c r="V31" s="318">
        <f t="shared" si="15"/>
        <v>0</v>
      </c>
      <c r="W31" s="319">
        <f t="shared" si="5"/>
        <v>0</v>
      </c>
      <c r="X31" s="319">
        <f t="shared" si="16"/>
        <v>0</v>
      </c>
      <c r="Y31" s="319">
        <f t="shared" si="17"/>
        <v>0</v>
      </c>
      <c r="Z31" s="315">
        <f t="shared" si="10"/>
        <v>0</v>
      </c>
    </row>
    <row r="32" spans="1:31" ht="22" customHeight="1" x14ac:dyDescent="0.35">
      <c r="A32" s="316" t="s">
        <v>76</v>
      </c>
      <c r="B32" s="317" t="str" cm="1">
        <f t="array" ref="B32">IFERROR(_xlfn.IFS('Scope 1'!$C$55="Yes","YES",'Scope 1'!$C$55="Jah","YES", 'Scope 1'!$C$55="Taip","YES",'Scope 1'!$C$55="Jā","YES"),"NO")</f>
        <v>NO</v>
      </c>
      <c r="C32" s="322">
        <f>IF(B32="YES",'Scope 1'!E55,0)</f>
        <v>0</v>
      </c>
      <c r="D32" s="319">
        <f>'Scope 1'!F55</f>
        <v>0</v>
      </c>
      <c r="E32" s="319" t="str">
        <f t="shared" si="11"/>
        <v>Petrol 0</v>
      </c>
      <c r="F32" s="319" t="str">
        <f>'Scope 1'!I55&amp;" - "&amp;A32</f>
        <v xml:space="preserve"> - Hybrid cars</v>
      </c>
      <c r="G32" s="319" t="str">
        <f>Information!$F$12&amp;" - "&amp;"Other land transport"</f>
        <v xml:space="preserve"> - Other land transport</v>
      </c>
      <c r="H32" s="319">
        <f>IF(B32="YES", 'Scope 1'!J55, 0)</f>
        <v>0</v>
      </c>
      <c r="I32" s="319" t="str">
        <f>'Scope 1'!K55</f>
        <v>km</v>
      </c>
      <c r="J32" s="319">
        <f>IF(B32="YES",'Scope 1'!L55,0)</f>
        <v>0</v>
      </c>
      <c r="K32" s="326" t="str">
        <f>'Scope 1'!M55</f>
        <v>EUR</v>
      </c>
      <c r="L32" s="320"/>
      <c r="M32" s="318">
        <f>IFERROR(VLOOKUP(E32,'Carbon Factors'!$B$2:$H$449,5,FALSE),0)</f>
        <v>0</v>
      </c>
      <c r="N32" s="319">
        <f>IFERROR(VLOOKUP(F32,'Carbon Factors'!$B$2:$H$449,5,FALSE),0)</f>
        <v>0</v>
      </c>
      <c r="O32" s="326">
        <f>IFERROR(VLOOKUP(G32,'Carbon Factors'!$B$2:$H$449,5,FALSE),0)</f>
        <v>0</v>
      </c>
      <c r="P32" s="323">
        <f t="shared" si="12"/>
        <v>0</v>
      </c>
      <c r="Q32" s="319">
        <f>IFERROR(VLOOKUP(E32,'Carbon Factors'!$B$2:$K$449,9,FALSE),0)</f>
        <v>0</v>
      </c>
      <c r="R32" s="319">
        <f t="shared" si="13"/>
        <v>0</v>
      </c>
      <c r="S32" s="319">
        <f>IFERROR(VLOOKUP((A32),'Carbon Factors'!$B$2:$K$449,9,FALSE),0)</f>
        <v>0</v>
      </c>
      <c r="T32" s="319">
        <f t="shared" si="14"/>
        <v>0</v>
      </c>
      <c r="U32" s="327">
        <f>IFERROR(VLOOKUP(G32,'Carbon Factors'!$B$2:$K$449,9,FALSE),0)</f>
        <v>0</v>
      </c>
      <c r="V32" s="318">
        <f t="shared" si="15"/>
        <v>0</v>
      </c>
      <c r="W32" s="319">
        <f t="shared" si="5"/>
        <v>0</v>
      </c>
      <c r="X32" s="319">
        <f t="shared" si="16"/>
        <v>0</v>
      </c>
      <c r="Y32" s="319">
        <f t="shared" si="17"/>
        <v>0</v>
      </c>
      <c r="Z32" s="315">
        <f t="shared" si="10"/>
        <v>0</v>
      </c>
    </row>
    <row r="33" spans="1:31" ht="22" customHeight="1" x14ac:dyDescent="0.35">
      <c r="A33" s="316" t="s">
        <v>76</v>
      </c>
      <c r="B33" s="317" t="str" cm="1">
        <f t="array" ref="B33">IFERROR(_xlfn.IFS('Scope 1'!$C$55="Yes","YES",'Scope 1'!$C$55="Jah","YES", 'Scope 1'!$C$55="Taip","YES",'Scope 1'!$C$55="Jā","YES"),"NO")</f>
        <v>NO</v>
      </c>
      <c r="C33" s="322">
        <f>IF(B33="YES",'Scope 1'!E56,0)</f>
        <v>0</v>
      </c>
      <c r="D33" s="319">
        <f>'Scope 1'!F56</f>
        <v>0</v>
      </c>
      <c r="E33" s="319" t="str">
        <f t="shared" ref="E33:E34" si="18">IF(A33="Hybrid cars","Petrol "&amp;D33,A33&amp;" "&amp;D33)</f>
        <v>Petrol 0</v>
      </c>
      <c r="F33" s="319" t="str">
        <f>'Scope 1'!I56&amp;" - "&amp;A33</f>
        <v xml:space="preserve"> - Hybrid cars</v>
      </c>
      <c r="G33" s="319" t="str">
        <f>Information!$F$12&amp;" - "&amp;"Other land transport"</f>
        <v xml:space="preserve"> - Other land transport</v>
      </c>
      <c r="H33" s="319">
        <f>IF(B33="YES", 'Scope 1'!J56, 0)</f>
        <v>0</v>
      </c>
      <c r="I33" s="319" t="str">
        <f>'Scope 1'!K56</f>
        <v>km</v>
      </c>
      <c r="J33" s="319">
        <f>IF(B33="YES",'Scope 1'!L56,0)</f>
        <v>0</v>
      </c>
      <c r="K33" s="326" t="str">
        <f>'Scope 1'!M56</f>
        <v>EUR</v>
      </c>
      <c r="L33" s="320"/>
      <c r="M33" s="318">
        <f>IFERROR(VLOOKUP(E33,'Carbon Factors'!$B$2:$H$449,5,FALSE),0)</f>
        <v>0</v>
      </c>
      <c r="N33" s="319">
        <f>IFERROR(VLOOKUP(F33,'Carbon Factors'!$B$2:$H$449,5,FALSE),0)</f>
        <v>0</v>
      </c>
      <c r="O33" s="326">
        <f>IFERROR(VLOOKUP(G33,'Carbon Factors'!$B$2:$H$449,5,FALSE),0)</f>
        <v>0</v>
      </c>
      <c r="P33" s="323">
        <f t="shared" ref="P33:P34" si="19">C33*M33</f>
        <v>0</v>
      </c>
      <c r="Q33" s="319">
        <f>IFERROR(VLOOKUP(E33,'Carbon Factors'!$B$2:$K$449,9,FALSE),0)</f>
        <v>0</v>
      </c>
      <c r="R33" s="319">
        <f t="shared" ref="R33:R34" si="20">N33*H33</f>
        <v>0</v>
      </c>
      <c r="S33" s="319">
        <f>IFERROR(VLOOKUP((A33),'Carbon Factors'!$B$2:$K$449,9,FALSE),0)</f>
        <v>0</v>
      </c>
      <c r="T33" s="319">
        <f t="shared" ref="T33:T34" si="21">O33*J33</f>
        <v>0</v>
      </c>
      <c r="U33" s="327">
        <f>IFERROR(VLOOKUP(G33,'Carbon Factors'!$B$2:$K$449,9,FALSE),0)</f>
        <v>0</v>
      </c>
      <c r="V33" s="318">
        <f>P33+R33+T33</f>
        <v>0</v>
      </c>
      <c r="W33" s="319">
        <f t="shared" ref="W33:W34" si="22">Q33</f>
        <v>0</v>
      </c>
      <c r="X33" s="319">
        <f t="shared" ref="X33:X34" si="23">P33</f>
        <v>0</v>
      </c>
      <c r="Y33" s="319">
        <f t="shared" ref="Y33:Y34" si="24">R33+T33</f>
        <v>0</v>
      </c>
      <c r="Z33" s="315">
        <f t="shared" si="10"/>
        <v>0</v>
      </c>
    </row>
    <row r="34" spans="1:31" ht="22" customHeight="1" x14ac:dyDescent="0.35">
      <c r="A34" s="316" t="s">
        <v>76</v>
      </c>
      <c r="B34" s="317" t="str" cm="1">
        <f t="array" ref="B34">IFERROR(_xlfn.IFS('Scope 1'!$C$55="Yes","YES",'Scope 1'!$C$55="Jah","YES", 'Scope 1'!$C$55="Taip","YES",'Scope 1'!$C$55="Jā","YES"),"NO")</f>
        <v>NO</v>
      </c>
      <c r="C34" s="322">
        <f>IF(B34="YES",'Scope 1'!E57,0)</f>
        <v>0</v>
      </c>
      <c r="D34" s="319">
        <f>'Scope 1'!F57</f>
        <v>0</v>
      </c>
      <c r="E34" s="319" t="str">
        <f t="shared" si="18"/>
        <v>Petrol 0</v>
      </c>
      <c r="F34" s="319" t="str">
        <f>'Scope 1'!I57&amp;" - "&amp;A34</f>
        <v xml:space="preserve"> - Hybrid cars</v>
      </c>
      <c r="G34" s="319" t="str">
        <f>Information!$F$12&amp;" - "&amp;"Other land transport"</f>
        <v xml:space="preserve"> - Other land transport</v>
      </c>
      <c r="H34" s="319">
        <f>IF(B34="YES", 'Scope 1'!J57, 0)</f>
        <v>0</v>
      </c>
      <c r="I34" s="319" t="str">
        <f>'Scope 1'!K57</f>
        <v>km</v>
      </c>
      <c r="J34" s="319">
        <f>IF(B34="YES",'Scope 1'!L57,0)</f>
        <v>0</v>
      </c>
      <c r="K34" s="326" t="str">
        <f>'Scope 1'!M57</f>
        <v>EUR</v>
      </c>
      <c r="L34" s="320"/>
      <c r="M34" s="318">
        <f>IFERROR(VLOOKUP(E34,'Carbon Factors'!$B$2:$H$449,5,FALSE),0)</f>
        <v>0</v>
      </c>
      <c r="N34" s="319">
        <f>IFERROR(VLOOKUP(F34,'Carbon Factors'!$B$2:$H$449,5,FALSE),0)</f>
        <v>0</v>
      </c>
      <c r="O34" s="326">
        <f>IFERROR(VLOOKUP(G34,'Carbon Factors'!$B$2:$H$449,5,FALSE),0)</f>
        <v>0</v>
      </c>
      <c r="P34" s="323">
        <f t="shared" si="19"/>
        <v>0</v>
      </c>
      <c r="Q34" s="319">
        <f>IFERROR(VLOOKUP(E34,'Carbon Factors'!$B$2:$K$449,9,FALSE),0)</f>
        <v>0</v>
      </c>
      <c r="R34" s="319">
        <f t="shared" si="20"/>
        <v>0</v>
      </c>
      <c r="S34" s="319">
        <f>IFERROR(VLOOKUP((A34),'Carbon Factors'!$B$2:$K$449,9,FALSE),0)</f>
        <v>0</v>
      </c>
      <c r="T34" s="319">
        <f t="shared" si="21"/>
        <v>0</v>
      </c>
      <c r="U34" s="327">
        <f>IFERROR(VLOOKUP(G34,'Carbon Factors'!$B$2:$K$449,9,FALSE),0)</f>
        <v>0</v>
      </c>
      <c r="V34" s="318">
        <f t="shared" ref="V34" si="25">P34+R34+T34</f>
        <v>0</v>
      </c>
      <c r="W34" s="319">
        <f t="shared" si="22"/>
        <v>0</v>
      </c>
      <c r="X34" s="319">
        <f t="shared" si="23"/>
        <v>0</v>
      </c>
      <c r="Y34" s="319">
        <f t="shared" si="24"/>
        <v>0</v>
      </c>
      <c r="Z34" s="315">
        <f t="shared" si="10"/>
        <v>0</v>
      </c>
    </row>
    <row r="35" spans="1:31" ht="22" customHeight="1" x14ac:dyDescent="0.35">
      <c r="A35" s="316" t="s">
        <v>77</v>
      </c>
      <c r="B35" s="317" t="str" cm="1">
        <f t="array" ref="B35">IFERROR(_xlfn.IFS('Scope 1'!$C$59="Yes","YES",'Scope 1'!$C$59="Jah","YES", 'Scope 1'!$C$59="Taip","YES",'Scope 1'!$C$59="Jā","YES"),"NO")</f>
        <v>NO</v>
      </c>
      <c r="C35" s="322">
        <f>IF(B35="YES",'Scope 1'!E59,0)</f>
        <v>0</v>
      </c>
      <c r="D35" s="319" t="str">
        <f>'Scope 1'!F59</f>
        <v>kg</v>
      </c>
      <c r="E35" s="319" t="str">
        <f t="shared" si="11"/>
        <v>AdBlue kg</v>
      </c>
      <c r="F35" s="320"/>
      <c r="G35" s="320"/>
      <c r="H35" s="320"/>
      <c r="I35" s="320"/>
      <c r="J35" s="320"/>
      <c r="K35" s="321"/>
      <c r="L35" s="320"/>
      <c r="M35" s="318">
        <f>IFERROR(VLOOKUP(E35,'Carbon Factors'!$B$2:$H$449,5,FALSE),0)</f>
        <v>2.3799999999999998E-4</v>
      </c>
      <c r="N35" s="320"/>
      <c r="O35" s="321"/>
      <c r="P35" s="323">
        <f t="shared" ref="P35" si="26">C35*M35</f>
        <v>0</v>
      </c>
      <c r="Q35" s="319" t="str">
        <f>IFERROR(VLOOKUP(E35,'Carbon Factors'!$B$2:$K$449,9,FALSE),0)</f>
        <v>tCO2e</v>
      </c>
      <c r="R35" s="320"/>
      <c r="S35" s="320"/>
      <c r="T35" s="320"/>
      <c r="U35" s="320"/>
      <c r="V35" s="318">
        <f t="shared" ref="V35" si="27">P35+R35</f>
        <v>0</v>
      </c>
      <c r="W35" s="319" t="str">
        <f t="shared" ref="W35" si="28">Q35</f>
        <v>tCO2e</v>
      </c>
      <c r="X35" s="319">
        <f>V35</f>
        <v>0</v>
      </c>
      <c r="Y35" s="320"/>
      <c r="Z35" s="315">
        <f t="shared" si="10"/>
        <v>0</v>
      </c>
    </row>
    <row r="36" spans="1:31" ht="22" customHeight="1" x14ac:dyDescent="0.35">
      <c r="A36" s="310" t="s">
        <v>78</v>
      </c>
      <c r="B36" s="311"/>
      <c r="C36" s="521"/>
      <c r="D36" s="522"/>
      <c r="E36" s="522"/>
      <c r="F36" s="522"/>
      <c r="G36" s="522"/>
      <c r="H36" s="522"/>
      <c r="I36" s="522"/>
      <c r="J36" s="522"/>
      <c r="K36" s="523"/>
      <c r="L36" s="312"/>
      <c r="M36" s="521"/>
      <c r="N36" s="522"/>
      <c r="O36" s="523"/>
      <c r="P36" s="521"/>
      <c r="Q36" s="522"/>
      <c r="R36" s="522"/>
      <c r="S36" s="522"/>
      <c r="T36" s="522"/>
      <c r="U36" s="523"/>
      <c r="V36" s="518"/>
      <c r="W36" s="519"/>
      <c r="X36" s="519"/>
      <c r="Y36" s="519"/>
      <c r="Z36" s="520"/>
      <c r="AA36" s="560" t="s">
        <v>1397</v>
      </c>
      <c r="AB36" s="301" t="s">
        <v>988</v>
      </c>
      <c r="AC36" s="301" t="s">
        <v>989</v>
      </c>
      <c r="AD36" s="301" t="s">
        <v>1384</v>
      </c>
      <c r="AE36" s="302" t="s">
        <v>1168</v>
      </c>
    </row>
    <row r="37" spans="1:31" ht="22" customHeight="1" x14ac:dyDescent="0.35">
      <c r="A37" s="316">
        <f>'Scope 1'!C69</f>
        <v>0</v>
      </c>
      <c r="B37" s="317" t="str">
        <f>IF('Scope 1'!C69&gt;0,"YES","NO")</f>
        <v>NO</v>
      </c>
      <c r="C37" s="328">
        <f>'Scope 1'!E69</f>
        <v>0</v>
      </c>
      <c r="D37" s="329" t="str">
        <f>'Scope 1'!F69</f>
        <v>kg</v>
      </c>
      <c r="E37" s="329">
        <f>'Scope 1'!C69</f>
        <v>0</v>
      </c>
      <c r="F37" s="320"/>
      <c r="G37" s="320"/>
      <c r="H37" s="320"/>
      <c r="I37" s="320"/>
      <c r="J37" s="320"/>
      <c r="K37" s="321"/>
      <c r="L37" s="320"/>
      <c r="M37" s="328">
        <f>IFERROR(VLOOKUP(E37,'Carbon Factors'!$B$2:$H$449,5,FALSE),0)</f>
        <v>0</v>
      </c>
      <c r="N37" s="320"/>
      <c r="O37" s="321"/>
      <c r="P37" s="330">
        <f>M37*C37</f>
        <v>0</v>
      </c>
      <c r="Q37" s="329">
        <f>IFERROR(VLOOKUP(E37,'Carbon Factors'!$B$2:$K$449,9,FALSE),0)</f>
        <v>0</v>
      </c>
      <c r="R37" s="320"/>
      <c r="S37" s="320"/>
      <c r="T37" s="320"/>
      <c r="U37" s="320"/>
      <c r="V37" s="328">
        <f t="shared" ref="V37" si="29">P37+R37</f>
        <v>0</v>
      </c>
      <c r="W37" s="329">
        <f t="shared" ref="W37" si="30">Q37</f>
        <v>0</v>
      </c>
      <c r="X37" s="319">
        <f t="shared" ref="X37:X46" si="31">P37</f>
        <v>0</v>
      </c>
      <c r="Y37" s="320"/>
      <c r="Z37" s="315">
        <f t="shared" ref="Z37:Z46" si="32">IFERROR(P37/V37,0)</f>
        <v>0</v>
      </c>
      <c r="AA37" s="561"/>
      <c r="AB37" s="314">
        <f>SUM(X37:X46)</f>
        <v>0</v>
      </c>
      <c r="AC37" s="314">
        <f>SUM(Y37:Y46)</f>
        <v>0</v>
      </c>
      <c r="AD37" s="314">
        <f>SUM(V37:V46)</f>
        <v>0</v>
      </c>
      <c r="AE37" s="315">
        <f>IFERROR(AB37/AD37,0)</f>
        <v>0</v>
      </c>
    </row>
    <row r="38" spans="1:31" ht="22" customHeight="1" x14ac:dyDescent="0.35">
      <c r="A38" s="316">
        <f>'Scope 1'!C70</f>
        <v>0</v>
      </c>
      <c r="B38" s="317" t="str">
        <f>IF('Scope 1'!C70&gt;0,"YES","NO")</f>
        <v>NO</v>
      </c>
      <c r="C38" s="328">
        <f>'Scope 1'!E70</f>
        <v>0</v>
      </c>
      <c r="D38" s="329" t="str">
        <f>'Scope 1'!F70</f>
        <v>kg</v>
      </c>
      <c r="E38" s="329">
        <f>'Scope 1'!C70</f>
        <v>0</v>
      </c>
      <c r="F38" s="320"/>
      <c r="G38" s="320"/>
      <c r="H38" s="320"/>
      <c r="I38" s="320"/>
      <c r="J38" s="320"/>
      <c r="K38" s="321"/>
      <c r="L38" s="320"/>
      <c r="M38" s="328">
        <f>IFERROR(VLOOKUP(E38,'Carbon Factors'!$B$2:$H$449,5,FALSE),0)</f>
        <v>0</v>
      </c>
      <c r="N38" s="320"/>
      <c r="O38" s="321"/>
      <c r="P38" s="330">
        <f t="shared" ref="P38:P46" si="33">M38*C38</f>
        <v>0</v>
      </c>
      <c r="Q38" s="329">
        <f>IFERROR(VLOOKUP(E38,'Carbon Factors'!$B$2:$K$449,9,FALSE),0)</f>
        <v>0</v>
      </c>
      <c r="R38" s="320"/>
      <c r="S38" s="320"/>
      <c r="T38" s="320"/>
      <c r="U38" s="320"/>
      <c r="V38" s="328">
        <f t="shared" ref="V38:V46" si="34">P38+R38</f>
        <v>0</v>
      </c>
      <c r="W38" s="329">
        <f t="shared" ref="W38:W46" si="35">Q38</f>
        <v>0</v>
      </c>
      <c r="X38" s="319">
        <f t="shared" si="31"/>
        <v>0</v>
      </c>
      <c r="Y38" s="320"/>
      <c r="Z38" s="315">
        <f t="shared" si="32"/>
        <v>0</v>
      </c>
    </row>
    <row r="39" spans="1:31" ht="22" customHeight="1" x14ac:dyDescent="0.35">
      <c r="A39" s="316">
        <f>'Scope 1'!C71</f>
        <v>0</v>
      </c>
      <c r="B39" s="317" t="str">
        <f>IF('Scope 1'!C71&gt;0,"YES","NO")</f>
        <v>NO</v>
      </c>
      <c r="C39" s="328">
        <f>'Scope 1'!E71</f>
        <v>0</v>
      </c>
      <c r="D39" s="329" t="str">
        <f>'Scope 1'!F71</f>
        <v>kg</v>
      </c>
      <c r="E39" s="329">
        <f>'Scope 1'!C71</f>
        <v>0</v>
      </c>
      <c r="F39" s="320"/>
      <c r="G39" s="320"/>
      <c r="H39" s="320"/>
      <c r="I39" s="320"/>
      <c r="J39" s="320"/>
      <c r="K39" s="321"/>
      <c r="L39" s="320"/>
      <c r="M39" s="328">
        <f>IFERROR(VLOOKUP(E39,'Carbon Factors'!$B$2:$H$449,5,FALSE),0)</f>
        <v>0</v>
      </c>
      <c r="N39" s="320"/>
      <c r="O39" s="321"/>
      <c r="P39" s="330">
        <f t="shared" si="33"/>
        <v>0</v>
      </c>
      <c r="Q39" s="329">
        <f>IFERROR(VLOOKUP(E39,'Carbon Factors'!$B$2:$K$449,9,FALSE),0)</f>
        <v>0</v>
      </c>
      <c r="R39" s="320"/>
      <c r="S39" s="320"/>
      <c r="T39" s="320"/>
      <c r="U39" s="320"/>
      <c r="V39" s="328">
        <f t="shared" si="34"/>
        <v>0</v>
      </c>
      <c r="W39" s="329">
        <f t="shared" si="35"/>
        <v>0</v>
      </c>
      <c r="X39" s="319">
        <f t="shared" si="31"/>
        <v>0</v>
      </c>
      <c r="Y39" s="320"/>
      <c r="Z39" s="315">
        <f t="shared" si="32"/>
        <v>0</v>
      </c>
    </row>
    <row r="40" spans="1:31" ht="22" customHeight="1" x14ac:dyDescent="0.35">
      <c r="A40" s="316">
        <f>'Scope 1'!C72</f>
        <v>0</v>
      </c>
      <c r="B40" s="317" t="str">
        <f>IF('Scope 1'!C72&gt;0,"YES","NO")</f>
        <v>NO</v>
      </c>
      <c r="C40" s="328">
        <f>'Scope 1'!E72</f>
        <v>0</v>
      </c>
      <c r="D40" s="329" t="str">
        <f>'Scope 1'!F72</f>
        <v>kg</v>
      </c>
      <c r="E40" s="329">
        <f>'Scope 1'!C72</f>
        <v>0</v>
      </c>
      <c r="F40" s="320"/>
      <c r="G40" s="320"/>
      <c r="H40" s="320"/>
      <c r="I40" s="320"/>
      <c r="J40" s="320"/>
      <c r="K40" s="321"/>
      <c r="L40" s="320"/>
      <c r="M40" s="328">
        <f>IFERROR(VLOOKUP(E40,'Carbon Factors'!$B$2:$H$449,5,FALSE),0)</f>
        <v>0</v>
      </c>
      <c r="N40" s="320"/>
      <c r="O40" s="321"/>
      <c r="P40" s="330">
        <f t="shared" si="33"/>
        <v>0</v>
      </c>
      <c r="Q40" s="329">
        <f>IFERROR(VLOOKUP(E40,'Carbon Factors'!$B$2:$K$449,9,FALSE),0)</f>
        <v>0</v>
      </c>
      <c r="R40" s="320"/>
      <c r="S40" s="320"/>
      <c r="T40" s="320"/>
      <c r="U40" s="320"/>
      <c r="V40" s="328">
        <f t="shared" si="34"/>
        <v>0</v>
      </c>
      <c r="W40" s="329">
        <f t="shared" si="35"/>
        <v>0</v>
      </c>
      <c r="X40" s="319">
        <f t="shared" si="31"/>
        <v>0</v>
      </c>
      <c r="Y40" s="320"/>
      <c r="Z40" s="315">
        <f t="shared" si="32"/>
        <v>0</v>
      </c>
    </row>
    <row r="41" spans="1:31" ht="22" customHeight="1" x14ac:dyDescent="0.35">
      <c r="A41" s="316">
        <f>'Scope 1'!C73</f>
        <v>0</v>
      </c>
      <c r="B41" s="317" t="str">
        <f>IF('Scope 1'!C73&gt;0,"YES","NO")</f>
        <v>NO</v>
      </c>
      <c r="C41" s="328">
        <f>'Scope 1'!E73</f>
        <v>0</v>
      </c>
      <c r="D41" s="329" t="str">
        <f>'Scope 1'!F73</f>
        <v>kg</v>
      </c>
      <c r="E41" s="329">
        <f>'Scope 1'!C73</f>
        <v>0</v>
      </c>
      <c r="F41" s="320"/>
      <c r="G41" s="320"/>
      <c r="H41" s="320"/>
      <c r="I41" s="320"/>
      <c r="J41" s="320"/>
      <c r="K41" s="321"/>
      <c r="L41" s="320"/>
      <c r="M41" s="328">
        <f>IFERROR(VLOOKUP(E41,'Carbon Factors'!$B$2:$H$449,5,FALSE),0)</f>
        <v>0</v>
      </c>
      <c r="N41" s="320"/>
      <c r="O41" s="321"/>
      <c r="P41" s="330">
        <f t="shared" si="33"/>
        <v>0</v>
      </c>
      <c r="Q41" s="329">
        <f>IFERROR(VLOOKUP(E41,'Carbon Factors'!$B$2:$K$449,9,FALSE),0)</f>
        <v>0</v>
      </c>
      <c r="R41" s="320"/>
      <c r="S41" s="320"/>
      <c r="T41" s="320"/>
      <c r="U41" s="320"/>
      <c r="V41" s="328">
        <f t="shared" si="34"/>
        <v>0</v>
      </c>
      <c r="W41" s="329">
        <f t="shared" si="35"/>
        <v>0</v>
      </c>
      <c r="X41" s="319">
        <f t="shared" si="31"/>
        <v>0</v>
      </c>
      <c r="Y41" s="320"/>
      <c r="Z41" s="315">
        <f t="shared" si="32"/>
        <v>0</v>
      </c>
    </row>
    <row r="42" spans="1:31" ht="22" customHeight="1" x14ac:dyDescent="0.35">
      <c r="A42" s="316">
        <f>'Scope 1'!C74</f>
        <v>0</v>
      </c>
      <c r="B42" s="317" t="str">
        <f>IF('Scope 1'!C74&gt;0,"YES","NO")</f>
        <v>NO</v>
      </c>
      <c r="C42" s="328">
        <f>'Scope 1'!E74</f>
        <v>0</v>
      </c>
      <c r="D42" s="329" t="str">
        <f>'Scope 1'!F74</f>
        <v>kg</v>
      </c>
      <c r="E42" s="329">
        <f>'Scope 1'!C74</f>
        <v>0</v>
      </c>
      <c r="F42" s="320"/>
      <c r="G42" s="320"/>
      <c r="H42" s="320"/>
      <c r="I42" s="320"/>
      <c r="J42" s="320"/>
      <c r="K42" s="321"/>
      <c r="L42" s="320"/>
      <c r="M42" s="328">
        <f>IFERROR(VLOOKUP(E42,'Carbon Factors'!$B$2:$H$449,5,FALSE),0)</f>
        <v>0</v>
      </c>
      <c r="N42" s="320"/>
      <c r="O42" s="321"/>
      <c r="P42" s="330">
        <f t="shared" si="33"/>
        <v>0</v>
      </c>
      <c r="Q42" s="329">
        <f>IFERROR(VLOOKUP(E42,'Carbon Factors'!$B$2:$K$449,9,FALSE),0)</f>
        <v>0</v>
      </c>
      <c r="R42" s="320"/>
      <c r="S42" s="320"/>
      <c r="T42" s="320"/>
      <c r="U42" s="320"/>
      <c r="V42" s="328">
        <f t="shared" si="34"/>
        <v>0</v>
      </c>
      <c r="W42" s="329">
        <f t="shared" si="35"/>
        <v>0</v>
      </c>
      <c r="X42" s="319">
        <f t="shared" si="31"/>
        <v>0</v>
      </c>
      <c r="Y42" s="320"/>
      <c r="Z42" s="315">
        <f t="shared" si="32"/>
        <v>0</v>
      </c>
    </row>
    <row r="43" spans="1:31" ht="22" customHeight="1" x14ac:dyDescent="0.35">
      <c r="A43" s="316">
        <f>'Scope 1'!C75</f>
        <v>0</v>
      </c>
      <c r="B43" s="317" t="str">
        <f>IF('Scope 1'!C75&gt;0,"YES","NO")</f>
        <v>NO</v>
      </c>
      <c r="C43" s="328">
        <f>'Scope 1'!E75</f>
        <v>0</v>
      </c>
      <c r="D43" s="329" t="str">
        <f>'Scope 1'!F75</f>
        <v>kg</v>
      </c>
      <c r="E43" s="329">
        <f>'Scope 1'!C75</f>
        <v>0</v>
      </c>
      <c r="F43" s="320"/>
      <c r="G43" s="320"/>
      <c r="H43" s="320"/>
      <c r="I43" s="320"/>
      <c r="J43" s="320"/>
      <c r="K43" s="321"/>
      <c r="L43" s="320"/>
      <c r="M43" s="328">
        <f>IFERROR(VLOOKUP(E43,'Carbon Factors'!$B$2:$H$449,5,FALSE),0)</f>
        <v>0</v>
      </c>
      <c r="N43" s="320"/>
      <c r="O43" s="321"/>
      <c r="P43" s="330">
        <f t="shared" si="33"/>
        <v>0</v>
      </c>
      <c r="Q43" s="329">
        <f>IFERROR(VLOOKUP(E43,'Carbon Factors'!$B$2:$K$449,9,FALSE),0)</f>
        <v>0</v>
      </c>
      <c r="R43" s="320"/>
      <c r="S43" s="320"/>
      <c r="T43" s="320"/>
      <c r="U43" s="320"/>
      <c r="V43" s="328">
        <f t="shared" si="34"/>
        <v>0</v>
      </c>
      <c r="W43" s="329">
        <f t="shared" si="35"/>
        <v>0</v>
      </c>
      <c r="X43" s="319">
        <f t="shared" si="31"/>
        <v>0</v>
      </c>
      <c r="Y43" s="320"/>
      <c r="Z43" s="315">
        <f t="shared" si="32"/>
        <v>0</v>
      </c>
    </row>
    <row r="44" spans="1:31" ht="22" customHeight="1" x14ac:dyDescent="0.35">
      <c r="A44" s="316">
        <f>'Scope 1'!C76</f>
        <v>0</v>
      </c>
      <c r="B44" s="317" t="str">
        <f>IF('Scope 1'!C76&gt;0,"YES","NO")</f>
        <v>NO</v>
      </c>
      <c r="C44" s="328">
        <f>'Scope 1'!E76</f>
        <v>0</v>
      </c>
      <c r="D44" s="329" t="str">
        <f>'Scope 1'!F76</f>
        <v>kg</v>
      </c>
      <c r="E44" s="329">
        <f>'Scope 1'!C76</f>
        <v>0</v>
      </c>
      <c r="F44" s="320"/>
      <c r="G44" s="320"/>
      <c r="H44" s="320"/>
      <c r="I44" s="320"/>
      <c r="J44" s="320"/>
      <c r="K44" s="321"/>
      <c r="L44" s="320"/>
      <c r="M44" s="328">
        <f>IFERROR(VLOOKUP(E44,'Carbon Factors'!$B$2:$H$449,5,FALSE),0)</f>
        <v>0</v>
      </c>
      <c r="N44" s="320"/>
      <c r="O44" s="321"/>
      <c r="P44" s="330">
        <f t="shared" si="33"/>
        <v>0</v>
      </c>
      <c r="Q44" s="329">
        <f>IFERROR(VLOOKUP(E44,'Carbon Factors'!$B$2:$K$449,9,FALSE),0)</f>
        <v>0</v>
      </c>
      <c r="R44" s="320"/>
      <c r="S44" s="320"/>
      <c r="T44" s="320"/>
      <c r="U44" s="320"/>
      <c r="V44" s="328">
        <f t="shared" si="34"/>
        <v>0</v>
      </c>
      <c r="W44" s="329">
        <f t="shared" si="35"/>
        <v>0</v>
      </c>
      <c r="X44" s="319">
        <f t="shared" si="31"/>
        <v>0</v>
      </c>
      <c r="Y44" s="320"/>
      <c r="Z44" s="315">
        <f t="shared" si="32"/>
        <v>0</v>
      </c>
    </row>
    <row r="45" spans="1:31" ht="22" customHeight="1" x14ac:dyDescent="0.35">
      <c r="A45" s="316">
        <f>'Scope 1'!C77</f>
        <v>0</v>
      </c>
      <c r="B45" s="317" t="str">
        <f>IF('Scope 1'!C77&gt;0,"YES","NO")</f>
        <v>NO</v>
      </c>
      <c r="C45" s="328">
        <f>'Scope 1'!E77</f>
        <v>0</v>
      </c>
      <c r="D45" s="329" t="str">
        <f>'Scope 1'!F77</f>
        <v>kg</v>
      </c>
      <c r="E45" s="329">
        <f>'Scope 1'!C77</f>
        <v>0</v>
      </c>
      <c r="F45" s="320"/>
      <c r="G45" s="320"/>
      <c r="H45" s="320"/>
      <c r="I45" s="320"/>
      <c r="J45" s="320"/>
      <c r="K45" s="321"/>
      <c r="L45" s="320"/>
      <c r="M45" s="328">
        <f>IFERROR(VLOOKUP(E45,'Carbon Factors'!$B$2:$H$449,5,FALSE),0)</f>
        <v>0</v>
      </c>
      <c r="N45" s="320"/>
      <c r="O45" s="321"/>
      <c r="P45" s="330">
        <f t="shared" si="33"/>
        <v>0</v>
      </c>
      <c r="Q45" s="329">
        <f>IFERROR(VLOOKUP(E45,'Carbon Factors'!$B$2:$K$449,9,FALSE),0)</f>
        <v>0</v>
      </c>
      <c r="R45" s="320"/>
      <c r="S45" s="320"/>
      <c r="T45" s="320"/>
      <c r="U45" s="320"/>
      <c r="V45" s="328">
        <f t="shared" si="34"/>
        <v>0</v>
      </c>
      <c r="W45" s="329">
        <f t="shared" si="35"/>
        <v>0</v>
      </c>
      <c r="X45" s="319">
        <f t="shared" si="31"/>
        <v>0</v>
      </c>
      <c r="Y45" s="320"/>
      <c r="Z45" s="315">
        <f t="shared" si="32"/>
        <v>0</v>
      </c>
    </row>
    <row r="46" spans="1:31" ht="22" customHeight="1" x14ac:dyDescent="0.35">
      <c r="A46" s="316">
        <f>'Scope 1'!C78</f>
        <v>0</v>
      </c>
      <c r="B46" s="317" t="str">
        <f>IF('Scope 1'!C78&gt;0,"YES","NO")</f>
        <v>NO</v>
      </c>
      <c r="C46" s="328">
        <f>'Scope 1'!E78</f>
        <v>0</v>
      </c>
      <c r="D46" s="329" t="str">
        <f>'Scope 1'!F78</f>
        <v>kg</v>
      </c>
      <c r="E46" s="329">
        <f>'Scope 1'!C78</f>
        <v>0</v>
      </c>
      <c r="F46" s="320"/>
      <c r="G46" s="320"/>
      <c r="H46" s="320"/>
      <c r="I46" s="320"/>
      <c r="J46" s="320"/>
      <c r="K46" s="321"/>
      <c r="L46" s="320"/>
      <c r="M46" s="328">
        <f>IFERROR(VLOOKUP(E46,'Carbon Factors'!$B$2:$H$449,5,FALSE),0)</f>
        <v>0</v>
      </c>
      <c r="N46" s="320"/>
      <c r="O46" s="321"/>
      <c r="P46" s="330">
        <f t="shared" si="33"/>
        <v>0</v>
      </c>
      <c r="Q46" s="329">
        <f>IFERROR(VLOOKUP(E46,'Carbon Factors'!$B$2:$K$449,9,FALSE),0)</f>
        <v>0</v>
      </c>
      <c r="R46" s="320"/>
      <c r="S46" s="320"/>
      <c r="T46" s="320"/>
      <c r="U46" s="320"/>
      <c r="V46" s="328">
        <f t="shared" si="34"/>
        <v>0</v>
      </c>
      <c r="W46" s="329">
        <f t="shared" si="35"/>
        <v>0</v>
      </c>
      <c r="X46" s="319">
        <f t="shared" si="31"/>
        <v>0</v>
      </c>
      <c r="Y46" s="320"/>
      <c r="Z46" s="315">
        <f t="shared" si="32"/>
        <v>0</v>
      </c>
    </row>
    <row r="47" spans="1:31" ht="22" customHeight="1" x14ac:dyDescent="0.35">
      <c r="A47" s="310" t="s">
        <v>1183</v>
      </c>
      <c r="B47" s="311"/>
      <c r="C47" s="521"/>
      <c r="D47" s="522"/>
      <c r="E47" s="522"/>
      <c r="F47" s="522"/>
      <c r="G47" s="522"/>
      <c r="H47" s="522"/>
      <c r="I47" s="522"/>
      <c r="J47" s="522"/>
      <c r="K47" s="523"/>
      <c r="L47" s="312"/>
      <c r="M47" s="521"/>
      <c r="N47" s="522"/>
      <c r="O47" s="523"/>
      <c r="P47" s="521"/>
      <c r="Q47" s="522"/>
      <c r="R47" s="522"/>
      <c r="S47" s="522"/>
      <c r="T47" s="522"/>
      <c r="U47" s="523"/>
      <c r="V47" s="518"/>
      <c r="W47" s="519"/>
      <c r="X47" s="519"/>
      <c r="Y47" s="519"/>
      <c r="Z47" s="520"/>
      <c r="AA47" s="551" t="s">
        <v>1398</v>
      </c>
      <c r="AB47" s="301" t="s">
        <v>988</v>
      </c>
      <c r="AC47" s="301" t="s">
        <v>989</v>
      </c>
      <c r="AD47" s="301" t="s">
        <v>1384</v>
      </c>
      <c r="AE47" s="302" t="s">
        <v>1168</v>
      </c>
    </row>
    <row r="48" spans="1:31" ht="22" customHeight="1" thickBot="1" x14ac:dyDescent="0.4">
      <c r="A48" s="316" t="s">
        <v>265</v>
      </c>
      <c r="B48" s="317" t="str">
        <f>IF('Scope 1'!F81&gt;0,"YES","NO")</f>
        <v>NO</v>
      </c>
      <c r="C48" s="328">
        <f>'Scope 1'!F81</f>
        <v>0</v>
      </c>
      <c r="D48" s="329" t="str">
        <f>'Scope 1'!G81</f>
        <v>tCO2e</v>
      </c>
      <c r="E48" s="320"/>
      <c r="F48" s="331"/>
      <c r="G48" s="331"/>
      <c r="H48" s="320"/>
      <c r="I48" s="320"/>
      <c r="J48" s="320"/>
      <c r="K48" s="321"/>
      <c r="L48" s="321"/>
      <c r="M48" s="320"/>
      <c r="N48" s="320"/>
      <c r="O48" s="321"/>
      <c r="P48" s="320"/>
      <c r="Q48" s="320"/>
      <c r="R48" s="320"/>
      <c r="S48" s="320"/>
      <c r="T48" s="320"/>
      <c r="U48" s="321"/>
      <c r="V48" s="328">
        <f>C48</f>
        <v>0</v>
      </c>
      <c r="W48" s="329" t="s">
        <v>264</v>
      </c>
      <c r="X48" s="319">
        <f t="shared" ref="X48" si="36">V48</f>
        <v>0</v>
      </c>
      <c r="Y48" s="320"/>
      <c r="Z48" s="315">
        <f>IFERROR(P48/V48,0)</f>
        <v>0</v>
      </c>
      <c r="AA48" s="552"/>
      <c r="AB48" s="314">
        <f>X48</f>
        <v>0</v>
      </c>
      <c r="AC48" s="314">
        <f>Y48</f>
        <v>0</v>
      </c>
      <c r="AD48" s="314">
        <f>V48</f>
        <v>0</v>
      </c>
      <c r="AE48" s="315">
        <f>IFERROR(AB48/AD48,0)</f>
        <v>0</v>
      </c>
    </row>
    <row r="49" spans="1:31" ht="22" customHeight="1" x14ac:dyDescent="0.35">
      <c r="A49" s="310" t="s">
        <v>266</v>
      </c>
      <c r="B49" s="311"/>
      <c r="C49" s="524"/>
      <c r="D49" s="525"/>
      <c r="E49" s="525"/>
      <c r="F49" s="333" t="s">
        <v>1426</v>
      </c>
      <c r="G49" s="334" t="s">
        <v>1383</v>
      </c>
      <c r="H49" s="525"/>
      <c r="I49" s="525"/>
      <c r="J49" s="525"/>
      <c r="K49" s="526"/>
      <c r="L49" s="332"/>
      <c r="M49" s="524"/>
      <c r="N49" s="525"/>
      <c r="O49" s="526"/>
      <c r="P49" s="521"/>
      <c r="Q49" s="522"/>
      <c r="R49" s="522"/>
      <c r="S49" s="522"/>
      <c r="T49" s="522"/>
      <c r="U49" s="523"/>
      <c r="V49" s="518"/>
      <c r="W49" s="519"/>
      <c r="X49" s="519"/>
      <c r="Y49" s="519"/>
      <c r="Z49" s="520"/>
      <c r="AA49" s="551" t="s">
        <v>266</v>
      </c>
      <c r="AB49" s="301" t="s">
        <v>988</v>
      </c>
      <c r="AC49" s="301" t="s">
        <v>989</v>
      </c>
      <c r="AD49" s="301" t="s">
        <v>1384</v>
      </c>
      <c r="AE49" s="302" t="s">
        <v>1168</v>
      </c>
    </row>
    <row r="50" spans="1:31" ht="22" customHeight="1" x14ac:dyDescent="0.35">
      <c r="A50" s="316" t="s">
        <v>326</v>
      </c>
      <c r="B50" s="317" t="str" cm="1">
        <f t="array" ref="B50">IFERROR(_xlfn.IFS('Scope 1'!$G$86="YES", "YES", 'Scope 1'!$G$86="Jah","YES", 'Scope 1'!$G$86="Taip","YES",'Scope 1'!$G$86="Jā","YES"),"NO")</f>
        <v>YES</v>
      </c>
      <c r="C50" s="318">
        <f>IF(B50="YES",'Scope 1'!$E$97,0)</f>
        <v>0</v>
      </c>
      <c r="D50" s="319" t="s">
        <v>1382</v>
      </c>
      <c r="E50" s="327" t="str">
        <f>A50&amp;" "&amp;Information!$F$12</f>
        <v xml:space="preserve">EF Dairy Cattle </v>
      </c>
      <c r="F50" s="335"/>
      <c r="G50" s="336">
        <f>C50</f>
        <v>0</v>
      </c>
      <c r="H50" s="337"/>
      <c r="I50" s="320"/>
      <c r="J50" s="320"/>
      <c r="K50" s="321"/>
      <c r="L50" s="320"/>
      <c r="M50" s="318">
        <f>IFERROR(VLOOKUP(E50,'Carbon Factors'!$B$2:$H$449,5,FALSE),0)</f>
        <v>0</v>
      </c>
      <c r="N50" s="320"/>
      <c r="O50" s="321"/>
      <c r="P50" s="323">
        <f>G50*M50</f>
        <v>0</v>
      </c>
      <c r="Q50" s="319">
        <f>IFERROR(VLOOKUP(E50,'Carbon Factors'!$B$2:$K$449,9,FALSE),0)</f>
        <v>0</v>
      </c>
      <c r="R50" s="320"/>
      <c r="S50" s="320"/>
      <c r="T50" s="320"/>
      <c r="U50" s="320"/>
      <c r="V50" s="328">
        <f>P50+R50</f>
        <v>0</v>
      </c>
      <c r="W50" s="329">
        <f t="shared" ref="W50" si="37">Q50</f>
        <v>0</v>
      </c>
      <c r="X50" s="319">
        <f>V50</f>
        <v>0</v>
      </c>
      <c r="Y50" s="338"/>
      <c r="Z50" s="315">
        <f t="shared" ref="Z50" si="38">IFERROR(P50/V50,0)</f>
        <v>0</v>
      </c>
      <c r="AA50" s="552"/>
      <c r="AB50" s="314">
        <f>SUM(X50:X76)</f>
        <v>0</v>
      </c>
      <c r="AC50" s="314">
        <f>SUM(Y50:Y76)</f>
        <v>0</v>
      </c>
      <c r="AD50" s="314">
        <f>SUM(V50:V76)</f>
        <v>0</v>
      </c>
      <c r="AE50" s="315">
        <f>IFERROR(AB50/AD50,0)</f>
        <v>0</v>
      </c>
    </row>
    <row r="51" spans="1:31" ht="22" customHeight="1" x14ac:dyDescent="0.35">
      <c r="A51" s="316" t="s">
        <v>328</v>
      </c>
      <c r="B51" s="317" t="str" cm="1">
        <f t="array" ref="B51">IFERROR(_xlfn.IFS('Scope 1'!$G$86="YES", "YES", 'Scope 1'!$G$86="Jah","YES", 'Scope 1'!$G$86="Taip","YES",'Scope 1'!$G$86="Jā","YES"),"NO")</f>
        <v>YES</v>
      </c>
      <c r="C51" s="318">
        <f>IF(B51="YES",'Scope 1'!$E$98,0)</f>
        <v>0</v>
      </c>
      <c r="D51" s="319" t="s">
        <v>1382</v>
      </c>
      <c r="E51" s="327" t="str">
        <f>A51&amp;" "&amp;Information!$F$12</f>
        <v xml:space="preserve">EF Non-dairy cattle </v>
      </c>
      <c r="F51" s="335"/>
      <c r="G51" s="336">
        <f t="shared" ref="G51:G57" si="39">C51</f>
        <v>0</v>
      </c>
      <c r="H51" s="337"/>
      <c r="I51" s="320"/>
      <c r="J51" s="320"/>
      <c r="K51" s="321"/>
      <c r="L51" s="320"/>
      <c r="M51" s="318">
        <f>IFERROR(VLOOKUP(E51,'Carbon Factors'!$B$2:$H$449,5,FALSE),0)</f>
        <v>0</v>
      </c>
      <c r="N51" s="320"/>
      <c r="O51" s="321"/>
      <c r="P51" s="323">
        <f t="shared" ref="P51:P76" si="40">G51*M51</f>
        <v>0</v>
      </c>
      <c r="Q51" s="319">
        <f>IFERROR(VLOOKUP(E51,'Carbon Factors'!$B$2:$K$449,9,FALSE),0)</f>
        <v>0</v>
      </c>
      <c r="R51" s="320"/>
      <c r="S51" s="320"/>
      <c r="T51" s="320"/>
      <c r="U51" s="320"/>
      <c r="V51" s="328">
        <f t="shared" ref="V51:V76" si="41">P51+R51</f>
        <v>0</v>
      </c>
      <c r="W51" s="329">
        <f t="shared" ref="W51:W76" si="42">Q51</f>
        <v>0</v>
      </c>
      <c r="X51" s="319">
        <f t="shared" ref="X51:X76" si="43">V51</f>
        <v>0</v>
      </c>
      <c r="Y51" s="338"/>
      <c r="Z51" s="315">
        <f t="shared" ref="Z51:Z76" si="44">IFERROR(P51/V51,0)</f>
        <v>0</v>
      </c>
    </row>
    <row r="52" spans="1:31" ht="22" customHeight="1" x14ac:dyDescent="0.35">
      <c r="A52" s="316" t="s">
        <v>327</v>
      </c>
      <c r="B52" s="317" t="str" cm="1">
        <f t="array" ref="B52">IFERROR(_xlfn.IFS('Scope 1'!$G$86="YES", "YES", 'Scope 1'!$G$86="Jah","YES", 'Scope 1'!$G$86="Taip","YES",'Scope 1'!$G$86="Jā","YES"),"NO")</f>
        <v>YES</v>
      </c>
      <c r="C52" s="318">
        <f>IF(B52="YES",'Scope 1'!$E$99,0)</f>
        <v>0</v>
      </c>
      <c r="D52" s="319" t="s">
        <v>1382</v>
      </c>
      <c r="E52" s="327" t="str">
        <f>A52&amp;" "&amp;Information!$F$12</f>
        <v xml:space="preserve">EF Sheep </v>
      </c>
      <c r="F52" s="335"/>
      <c r="G52" s="336">
        <f t="shared" si="39"/>
        <v>0</v>
      </c>
      <c r="H52" s="337"/>
      <c r="I52" s="320"/>
      <c r="J52" s="320"/>
      <c r="K52" s="321"/>
      <c r="L52" s="320"/>
      <c r="M52" s="318">
        <f>IFERROR(VLOOKUP(E52,'Carbon Factors'!$B$2:$H$449,5,FALSE),0)</f>
        <v>0</v>
      </c>
      <c r="N52" s="320"/>
      <c r="O52" s="321"/>
      <c r="P52" s="323">
        <f t="shared" si="40"/>
        <v>0</v>
      </c>
      <c r="Q52" s="319">
        <f>IFERROR(VLOOKUP(E52,'Carbon Factors'!$B$2:$K$449,9,FALSE),0)</f>
        <v>0</v>
      </c>
      <c r="R52" s="320"/>
      <c r="S52" s="320"/>
      <c r="T52" s="320"/>
      <c r="U52" s="320"/>
      <c r="V52" s="328">
        <f t="shared" si="41"/>
        <v>0</v>
      </c>
      <c r="W52" s="329">
        <f t="shared" si="42"/>
        <v>0</v>
      </c>
      <c r="X52" s="319">
        <f t="shared" si="43"/>
        <v>0</v>
      </c>
      <c r="Y52" s="338"/>
      <c r="Z52" s="315">
        <f t="shared" si="44"/>
        <v>0</v>
      </c>
    </row>
    <row r="53" spans="1:31" ht="22" customHeight="1" x14ac:dyDescent="0.35">
      <c r="A53" s="316" t="s">
        <v>329</v>
      </c>
      <c r="B53" s="317" t="str" cm="1">
        <f t="array" ref="B53">IFERROR(_xlfn.IFS('Scope 1'!$G$86="YES", "YES", 'Scope 1'!$G$86="Jah","YES", 'Scope 1'!$G$86="Taip","YES",'Scope 1'!$G$86="Jā","YES"),"NO")</f>
        <v>YES</v>
      </c>
      <c r="C53" s="318">
        <f>IF(B53="YES",'Scope 1'!$E$100,0)</f>
        <v>0</v>
      </c>
      <c r="D53" s="319" t="s">
        <v>1382</v>
      </c>
      <c r="E53" s="327" t="str">
        <f>A53&amp;" "&amp;Information!$F$12</f>
        <v xml:space="preserve">EF Swine </v>
      </c>
      <c r="F53" s="335"/>
      <c r="G53" s="336">
        <f t="shared" si="39"/>
        <v>0</v>
      </c>
      <c r="H53" s="337"/>
      <c r="I53" s="320"/>
      <c r="J53" s="320"/>
      <c r="K53" s="321"/>
      <c r="L53" s="320"/>
      <c r="M53" s="318">
        <f>IFERROR(VLOOKUP(E53,'Carbon Factors'!$B$2:$H$449,5,FALSE),0)</f>
        <v>0</v>
      </c>
      <c r="N53" s="320"/>
      <c r="O53" s="321"/>
      <c r="P53" s="323">
        <f t="shared" si="40"/>
        <v>0</v>
      </c>
      <c r="Q53" s="319">
        <f>IFERROR(VLOOKUP(E53,'Carbon Factors'!$B$2:$K$449,9,FALSE),0)</f>
        <v>0</v>
      </c>
      <c r="R53" s="320"/>
      <c r="S53" s="320"/>
      <c r="T53" s="320"/>
      <c r="U53" s="320"/>
      <c r="V53" s="328">
        <f t="shared" si="41"/>
        <v>0</v>
      </c>
      <c r="W53" s="329">
        <f t="shared" si="42"/>
        <v>0</v>
      </c>
      <c r="X53" s="319">
        <f t="shared" si="43"/>
        <v>0</v>
      </c>
      <c r="Y53" s="338"/>
      <c r="Z53" s="315">
        <f t="shared" si="44"/>
        <v>0</v>
      </c>
    </row>
    <row r="54" spans="1:31" ht="22" customHeight="1" x14ac:dyDescent="0.35">
      <c r="A54" s="316" t="s">
        <v>330</v>
      </c>
      <c r="B54" s="317" t="str" cm="1">
        <f t="array" ref="B54">IFERROR(_xlfn.IFS('Scope 1'!$G$86="YES", "YES", 'Scope 1'!$G$86="Jah","YES", 'Scope 1'!$G$86="Taip","YES",'Scope 1'!$G$86="Jā","YES"),"NO")</f>
        <v>YES</v>
      </c>
      <c r="C54" s="318">
        <f>IF(B54="YES",'Scope 1'!$E$101,0)</f>
        <v>0</v>
      </c>
      <c r="D54" s="319" t="s">
        <v>1382</v>
      </c>
      <c r="E54" s="327" t="str">
        <f>A54&amp;" "&amp;Information!$F$12</f>
        <v xml:space="preserve">EF Goats </v>
      </c>
      <c r="F54" s="335"/>
      <c r="G54" s="336">
        <f t="shared" si="39"/>
        <v>0</v>
      </c>
      <c r="H54" s="337"/>
      <c r="I54" s="320"/>
      <c r="J54" s="320"/>
      <c r="K54" s="321"/>
      <c r="L54" s="320"/>
      <c r="M54" s="318">
        <f>IFERROR(VLOOKUP(E54,'Carbon Factors'!$B$2:$H$449,5,FALSE),0)</f>
        <v>0</v>
      </c>
      <c r="N54" s="320"/>
      <c r="O54" s="321"/>
      <c r="P54" s="323">
        <f t="shared" si="40"/>
        <v>0</v>
      </c>
      <c r="Q54" s="319">
        <f>IFERROR(VLOOKUP(E54,'Carbon Factors'!$B$2:$K$449,9,FALSE),0)</f>
        <v>0</v>
      </c>
      <c r="R54" s="320"/>
      <c r="S54" s="320"/>
      <c r="T54" s="320"/>
      <c r="U54" s="320"/>
      <c r="V54" s="328">
        <f t="shared" si="41"/>
        <v>0</v>
      </c>
      <c r="W54" s="329">
        <f t="shared" si="42"/>
        <v>0</v>
      </c>
      <c r="X54" s="319">
        <f t="shared" si="43"/>
        <v>0</v>
      </c>
      <c r="Y54" s="338"/>
      <c r="Z54" s="315">
        <f t="shared" si="44"/>
        <v>0</v>
      </c>
    </row>
    <row r="55" spans="1:31" ht="22" customHeight="1" x14ac:dyDescent="0.35">
      <c r="A55" s="316" t="s">
        <v>331</v>
      </c>
      <c r="B55" s="317" t="str" cm="1">
        <f t="array" ref="B55">IFERROR(_xlfn.IFS('Scope 1'!$G$86="YES", "YES", 'Scope 1'!$G$86="Jah","YES", 'Scope 1'!$G$86="Taip","YES",'Scope 1'!$G$86="Jā","YES"),"NO")</f>
        <v>YES</v>
      </c>
      <c r="C55" s="318">
        <f>IF(B55="YES",'Scope 1'!$E$102,0)</f>
        <v>0</v>
      </c>
      <c r="D55" s="319" t="s">
        <v>1382</v>
      </c>
      <c r="E55" s="327" t="str">
        <f>A55&amp;" "&amp;Information!$F$12</f>
        <v xml:space="preserve">EF Horses </v>
      </c>
      <c r="F55" s="335"/>
      <c r="G55" s="336">
        <f t="shared" si="39"/>
        <v>0</v>
      </c>
      <c r="H55" s="337"/>
      <c r="I55" s="320"/>
      <c r="J55" s="320"/>
      <c r="K55" s="321"/>
      <c r="L55" s="320"/>
      <c r="M55" s="318">
        <f>IFERROR(VLOOKUP(E55,'Carbon Factors'!$B$2:$H$449,5,FALSE),0)</f>
        <v>0</v>
      </c>
      <c r="N55" s="320"/>
      <c r="O55" s="321"/>
      <c r="P55" s="323">
        <f t="shared" si="40"/>
        <v>0</v>
      </c>
      <c r="Q55" s="319">
        <f>IFERROR(VLOOKUP(E55,'Carbon Factors'!$B$2:$K$449,9,FALSE),0)</f>
        <v>0</v>
      </c>
      <c r="R55" s="320"/>
      <c r="S55" s="320"/>
      <c r="T55" s="320"/>
      <c r="U55" s="320"/>
      <c r="V55" s="328">
        <f t="shared" si="41"/>
        <v>0</v>
      </c>
      <c r="W55" s="329">
        <f t="shared" si="42"/>
        <v>0</v>
      </c>
      <c r="X55" s="319">
        <f t="shared" si="43"/>
        <v>0</v>
      </c>
      <c r="Y55" s="338"/>
      <c r="Z55" s="315">
        <f t="shared" si="44"/>
        <v>0</v>
      </c>
    </row>
    <row r="56" spans="1:31" ht="22" customHeight="1" x14ac:dyDescent="0.35">
      <c r="A56" s="316" t="s">
        <v>332</v>
      </c>
      <c r="B56" s="317" t="str" cm="1">
        <f t="array" ref="B56">IFERROR(_xlfn.IFS('Scope 1'!$G$86="YES", "YES", 'Scope 1'!$G$86="Jah","YES", 'Scope 1'!$G$86="Taip","YES",'Scope 1'!$G$86="Jā","YES"),"NO")</f>
        <v>YES</v>
      </c>
      <c r="C56" s="318">
        <f>IF(B56="YES",'Scope 1'!$E$103,0)</f>
        <v>0</v>
      </c>
      <c r="D56" s="319" t="s">
        <v>1382</v>
      </c>
      <c r="E56" s="327" t="str">
        <f>A56&amp;" "&amp;Information!$F$12</f>
        <v xml:space="preserve">EF Poultry </v>
      </c>
      <c r="F56" s="335"/>
      <c r="G56" s="336">
        <f t="shared" si="39"/>
        <v>0</v>
      </c>
      <c r="H56" s="337"/>
      <c r="I56" s="320"/>
      <c r="J56" s="320"/>
      <c r="K56" s="321"/>
      <c r="L56" s="320"/>
      <c r="M56" s="318">
        <f>IFERROR(VLOOKUP(E56,'Carbon Factors'!$B$2:$H$449,5,FALSE),0)</f>
        <v>0</v>
      </c>
      <c r="N56" s="320"/>
      <c r="O56" s="321"/>
      <c r="P56" s="323">
        <f t="shared" si="40"/>
        <v>0</v>
      </c>
      <c r="Q56" s="319">
        <f>IFERROR(VLOOKUP(E56,'Carbon Factors'!$B$2:$K$449,9,FALSE),0)</f>
        <v>0</v>
      </c>
      <c r="R56" s="320"/>
      <c r="S56" s="320"/>
      <c r="T56" s="320"/>
      <c r="U56" s="320"/>
      <c r="V56" s="328">
        <f t="shared" si="41"/>
        <v>0</v>
      </c>
      <c r="W56" s="329">
        <f t="shared" si="42"/>
        <v>0</v>
      </c>
      <c r="X56" s="319">
        <f t="shared" si="43"/>
        <v>0</v>
      </c>
      <c r="Y56" s="338"/>
      <c r="Z56" s="315">
        <f t="shared" si="44"/>
        <v>0</v>
      </c>
    </row>
    <row r="57" spans="1:31" ht="22" customHeight="1" x14ac:dyDescent="0.35">
      <c r="A57" s="316" t="s">
        <v>333</v>
      </c>
      <c r="B57" s="317" t="str" cm="1">
        <f t="array" ref="B57">IFERROR(_xlfn.IFS('Scope 1'!$G$86="YES", "YES", 'Scope 1'!$G$86="Jah","YES", 'Scope 1'!$G$86="Taip","YES",'Scope 1'!$G$86="Jā","YES"),"NO")</f>
        <v>YES</v>
      </c>
      <c r="C57" s="318">
        <f>IF(B57="YES",'Scope 1'!$E$104,0)</f>
        <v>0</v>
      </c>
      <c r="D57" s="319" t="s">
        <v>1382</v>
      </c>
      <c r="E57" s="327" t="str">
        <f>A57&amp;" "&amp;Information!$F$12</f>
        <v xml:space="preserve">EF Rabbit </v>
      </c>
      <c r="F57" s="335"/>
      <c r="G57" s="336">
        <f t="shared" si="39"/>
        <v>0</v>
      </c>
      <c r="H57" s="337"/>
      <c r="I57" s="320"/>
      <c r="J57" s="320"/>
      <c r="K57" s="321"/>
      <c r="L57" s="320"/>
      <c r="M57" s="318">
        <f>IFERROR(VLOOKUP(E57,'Carbon Factors'!$B$2:$H$449,5,FALSE),0)</f>
        <v>0</v>
      </c>
      <c r="N57" s="320"/>
      <c r="O57" s="321"/>
      <c r="P57" s="323">
        <f t="shared" si="40"/>
        <v>0</v>
      </c>
      <c r="Q57" s="319">
        <f>IFERROR(VLOOKUP(E57,'Carbon Factors'!$B$2:$K$449,9,FALSE),0)</f>
        <v>0</v>
      </c>
      <c r="R57" s="320"/>
      <c r="S57" s="320"/>
      <c r="T57" s="320"/>
      <c r="U57" s="320"/>
      <c r="V57" s="328">
        <f t="shared" si="41"/>
        <v>0</v>
      </c>
      <c r="W57" s="329">
        <f t="shared" si="42"/>
        <v>0</v>
      </c>
      <c r="X57" s="319">
        <f t="shared" si="43"/>
        <v>0</v>
      </c>
      <c r="Y57" s="338"/>
      <c r="Z57" s="315">
        <f t="shared" si="44"/>
        <v>0</v>
      </c>
    </row>
    <row r="58" spans="1:31" ht="22" customHeight="1" x14ac:dyDescent="0.35">
      <c r="A58" s="316" t="s">
        <v>334</v>
      </c>
      <c r="B58" s="317" t="str" cm="1">
        <f t="array" ref="B58">IFERROR(_xlfn.IFS('Scope 1'!$G$86="YES", "YES", 'Scope 1'!$G$86="Jah","YES", 'Scope 1'!$G$86="Taip","YES",'Scope 1'!$G$86="Jā","YES"),"NO")</f>
        <v>YES</v>
      </c>
      <c r="C58" s="318">
        <f>IF(B58="YES",'Scope 1'!$E$97,0)</f>
        <v>0</v>
      </c>
      <c r="D58" s="319" t="s">
        <v>1382</v>
      </c>
      <c r="E58" s="327" t="str">
        <f>A58&amp;" "&amp;Information!$F$12</f>
        <v xml:space="preserve">MM Dairy Cattle </v>
      </c>
      <c r="F58" s="339">
        <f>SUM('Scope 1'!G97:I97)</f>
        <v>0</v>
      </c>
      <c r="G58" s="336">
        <f>C58*(1-F58)</f>
        <v>0</v>
      </c>
      <c r="H58" s="337"/>
      <c r="I58" s="320"/>
      <c r="J58" s="320"/>
      <c r="K58" s="321"/>
      <c r="L58" s="320"/>
      <c r="M58" s="318">
        <f>IFERROR(VLOOKUP(E58,'Carbon Factors'!$B$2:$H$449,5,FALSE),0)</f>
        <v>0</v>
      </c>
      <c r="N58" s="320"/>
      <c r="O58" s="321"/>
      <c r="P58" s="323">
        <f t="shared" si="40"/>
        <v>0</v>
      </c>
      <c r="Q58" s="319">
        <f>IFERROR(VLOOKUP(E58,'Carbon Factors'!$B$2:$K$449,9,FALSE),0)</f>
        <v>0</v>
      </c>
      <c r="R58" s="320"/>
      <c r="S58" s="320"/>
      <c r="T58" s="320"/>
      <c r="U58" s="320"/>
      <c r="V58" s="328">
        <f t="shared" si="41"/>
        <v>0</v>
      </c>
      <c r="W58" s="329">
        <f t="shared" si="42"/>
        <v>0</v>
      </c>
      <c r="X58" s="319">
        <f t="shared" si="43"/>
        <v>0</v>
      </c>
      <c r="Y58" s="338"/>
      <c r="Z58" s="315">
        <f t="shared" si="44"/>
        <v>0</v>
      </c>
    </row>
    <row r="59" spans="1:31" ht="22" customHeight="1" x14ac:dyDescent="0.35">
      <c r="A59" s="316" t="s">
        <v>349</v>
      </c>
      <c r="B59" s="317" t="str" cm="1">
        <f t="array" ref="B59">IFERROR(_xlfn.IFS('Scope 1'!$G$86="YES", "YES", 'Scope 1'!$G$86="Jah","YES", 'Scope 1'!$G$86="Taip","YES",'Scope 1'!$G$86="Jā","YES"),"NO")</f>
        <v>YES</v>
      </c>
      <c r="C59" s="318">
        <f>IF(B59="YES",'Scope 1'!$E$98,0)</f>
        <v>0</v>
      </c>
      <c r="D59" s="319" t="s">
        <v>1382</v>
      </c>
      <c r="E59" s="327" t="str">
        <f>A59&amp;" "&amp;Information!$F$12</f>
        <v xml:space="preserve">MM Non-dairy cattle </v>
      </c>
      <c r="F59" s="339">
        <f>SUM('Scope 1'!G98:I98)</f>
        <v>0</v>
      </c>
      <c r="G59" s="336">
        <f t="shared" ref="G59:G65" si="45">C59*(1-F59)</f>
        <v>0</v>
      </c>
      <c r="H59" s="337"/>
      <c r="I59" s="320"/>
      <c r="J59" s="320"/>
      <c r="K59" s="321"/>
      <c r="L59" s="320"/>
      <c r="M59" s="318">
        <f>IFERROR(VLOOKUP(E59,'Carbon Factors'!$B$2:$H$449,5,FALSE),0)</f>
        <v>0</v>
      </c>
      <c r="N59" s="320"/>
      <c r="O59" s="321"/>
      <c r="P59" s="323">
        <f t="shared" si="40"/>
        <v>0</v>
      </c>
      <c r="Q59" s="319">
        <f>IFERROR(VLOOKUP(E59,'Carbon Factors'!$B$2:$K$449,9,FALSE),0)</f>
        <v>0</v>
      </c>
      <c r="R59" s="320"/>
      <c r="S59" s="320"/>
      <c r="T59" s="320"/>
      <c r="U59" s="320"/>
      <c r="V59" s="328">
        <f t="shared" si="41"/>
        <v>0</v>
      </c>
      <c r="W59" s="329">
        <f t="shared" si="42"/>
        <v>0</v>
      </c>
      <c r="X59" s="319">
        <f t="shared" si="43"/>
        <v>0</v>
      </c>
      <c r="Y59" s="338"/>
      <c r="Z59" s="315">
        <f t="shared" si="44"/>
        <v>0</v>
      </c>
    </row>
    <row r="60" spans="1:31" ht="22" customHeight="1" x14ac:dyDescent="0.35">
      <c r="A60" s="316" t="s">
        <v>335</v>
      </c>
      <c r="B60" s="317" t="str" cm="1">
        <f t="array" ref="B60">IFERROR(_xlfn.IFS('Scope 1'!$G$86="YES", "YES", 'Scope 1'!$G$86="Jah","YES", 'Scope 1'!$G$86="Taip","YES",'Scope 1'!$G$86="Jā","YES"),"NO")</f>
        <v>YES</v>
      </c>
      <c r="C60" s="318">
        <f>IF(B60="YES",'Scope 1'!$E$99,0)</f>
        <v>0</v>
      </c>
      <c r="D60" s="319" t="s">
        <v>1382</v>
      </c>
      <c r="E60" s="327" t="str">
        <f>A60&amp;" "&amp;Information!$F$12</f>
        <v xml:space="preserve">MM Sheep </v>
      </c>
      <c r="F60" s="339">
        <f>SUM('Scope 1'!G99:I99)</f>
        <v>0</v>
      </c>
      <c r="G60" s="336">
        <f t="shared" si="45"/>
        <v>0</v>
      </c>
      <c r="H60" s="337"/>
      <c r="I60" s="320"/>
      <c r="J60" s="320"/>
      <c r="K60" s="321"/>
      <c r="L60" s="320"/>
      <c r="M60" s="318">
        <f>IFERROR(VLOOKUP(E60,'Carbon Factors'!$B$2:$H$449,5,FALSE),0)</f>
        <v>0</v>
      </c>
      <c r="N60" s="320"/>
      <c r="O60" s="321"/>
      <c r="P60" s="323">
        <f t="shared" si="40"/>
        <v>0</v>
      </c>
      <c r="Q60" s="319">
        <f>IFERROR(VLOOKUP(E60,'Carbon Factors'!$B$2:$K$449,9,FALSE),0)</f>
        <v>0</v>
      </c>
      <c r="R60" s="320"/>
      <c r="S60" s="320"/>
      <c r="T60" s="320"/>
      <c r="U60" s="320"/>
      <c r="V60" s="328">
        <f t="shared" si="41"/>
        <v>0</v>
      </c>
      <c r="W60" s="329">
        <f t="shared" si="42"/>
        <v>0</v>
      </c>
      <c r="X60" s="319">
        <f t="shared" si="43"/>
        <v>0</v>
      </c>
      <c r="Y60" s="338"/>
      <c r="Z60" s="315">
        <f t="shared" si="44"/>
        <v>0</v>
      </c>
    </row>
    <row r="61" spans="1:31" ht="22" customHeight="1" x14ac:dyDescent="0.35">
      <c r="A61" s="316" t="s">
        <v>336</v>
      </c>
      <c r="B61" s="317" t="str" cm="1">
        <f t="array" ref="B61">IFERROR(_xlfn.IFS('Scope 1'!$G$86="YES", "YES", 'Scope 1'!$G$86="Jah","YES", 'Scope 1'!$G$86="Taip","YES",'Scope 1'!$G$86="Jā","YES"),"NO")</f>
        <v>YES</v>
      </c>
      <c r="C61" s="318">
        <f>IF(B61="YES",'Scope 1'!$E$100,0)</f>
        <v>0</v>
      </c>
      <c r="D61" s="319" t="s">
        <v>1382</v>
      </c>
      <c r="E61" s="327" t="str">
        <f>A61&amp;" "&amp;Information!$F$12</f>
        <v xml:space="preserve">MM Swine </v>
      </c>
      <c r="F61" s="339">
        <f>SUM('Scope 1'!G100:I100)</f>
        <v>0</v>
      </c>
      <c r="G61" s="336">
        <f t="shared" si="45"/>
        <v>0</v>
      </c>
      <c r="H61" s="337"/>
      <c r="I61" s="320"/>
      <c r="J61" s="320"/>
      <c r="K61" s="321"/>
      <c r="L61" s="320"/>
      <c r="M61" s="318">
        <f>IFERROR(VLOOKUP(E61,'Carbon Factors'!$B$2:$H$449,5,FALSE),0)</f>
        <v>0</v>
      </c>
      <c r="N61" s="320"/>
      <c r="O61" s="321"/>
      <c r="P61" s="323">
        <f t="shared" si="40"/>
        <v>0</v>
      </c>
      <c r="Q61" s="319">
        <f>IFERROR(VLOOKUP(E61,'Carbon Factors'!$B$2:$K$449,9,FALSE),0)</f>
        <v>0</v>
      </c>
      <c r="R61" s="320"/>
      <c r="S61" s="320"/>
      <c r="T61" s="320"/>
      <c r="U61" s="320"/>
      <c r="V61" s="328">
        <f t="shared" si="41"/>
        <v>0</v>
      </c>
      <c r="W61" s="329">
        <f t="shared" si="42"/>
        <v>0</v>
      </c>
      <c r="X61" s="319">
        <f t="shared" si="43"/>
        <v>0</v>
      </c>
      <c r="Y61" s="338"/>
      <c r="Z61" s="315">
        <f t="shared" si="44"/>
        <v>0</v>
      </c>
    </row>
    <row r="62" spans="1:31" ht="22" customHeight="1" x14ac:dyDescent="0.35">
      <c r="A62" s="316" t="s">
        <v>337</v>
      </c>
      <c r="B62" s="317" t="str" cm="1">
        <f t="array" ref="B62">IFERROR(_xlfn.IFS('Scope 1'!$G$86="YES", "YES", 'Scope 1'!$G$86="Jah","YES", 'Scope 1'!$G$86="Taip","YES",'Scope 1'!$G$86="Jā","YES"),"NO")</f>
        <v>YES</v>
      </c>
      <c r="C62" s="318">
        <f>IF(B62="YES",'Scope 1'!$E$101,0)</f>
        <v>0</v>
      </c>
      <c r="D62" s="319" t="s">
        <v>1382</v>
      </c>
      <c r="E62" s="327" t="str">
        <f>A62&amp;" "&amp;Information!$F$12</f>
        <v xml:space="preserve">MM Goats </v>
      </c>
      <c r="F62" s="339">
        <f>SUM('Scope 1'!G101:I101)</f>
        <v>0</v>
      </c>
      <c r="G62" s="336">
        <f t="shared" si="45"/>
        <v>0</v>
      </c>
      <c r="H62" s="337"/>
      <c r="I62" s="320"/>
      <c r="J62" s="320"/>
      <c r="K62" s="321"/>
      <c r="L62" s="320"/>
      <c r="M62" s="318">
        <f>IFERROR(VLOOKUP(E62,'Carbon Factors'!$B$2:$H$449,5,FALSE),0)</f>
        <v>0</v>
      </c>
      <c r="N62" s="320"/>
      <c r="O62" s="321"/>
      <c r="P62" s="323">
        <f t="shared" si="40"/>
        <v>0</v>
      </c>
      <c r="Q62" s="319">
        <f>IFERROR(VLOOKUP(E62,'Carbon Factors'!$B$2:$K$449,9,FALSE),0)</f>
        <v>0</v>
      </c>
      <c r="R62" s="320"/>
      <c r="S62" s="320"/>
      <c r="T62" s="320"/>
      <c r="U62" s="320"/>
      <c r="V62" s="328">
        <f t="shared" si="41"/>
        <v>0</v>
      </c>
      <c r="W62" s="329">
        <f t="shared" si="42"/>
        <v>0</v>
      </c>
      <c r="X62" s="319">
        <f t="shared" si="43"/>
        <v>0</v>
      </c>
      <c r="Y62" s="338"/>
      <c r="Z62" s="315">
        <f t="shared" si="44"/>
        <v>0</v>
      </c>
    </row>
    <row r="63" spans="1:31" ht="22" customHeight="1" x14ac:dyDescent="0.35">
      <c r="A63" s="316" t="s">
        <v>338</v>
      </c>
      <c r="B63" s="317" t="str" cm="1">
        <f t="array" ref="B63">IFERROR(_xlfn.IFS('Scope 1'!$G$86="YES", "YES", 'Scope 1'!$G$86="Jah","YES", 'Scope 1'!$G$86="Taip","YES",'Scope 1'!$G$86="Jā","YES"),"NO")</f>
        <v>YES</v>
      </c>
      <c r="C63" s="318">
        <f>IF(B63="YES",'Scope 1'!$E$102,0)</f>
        <v>0</v>
      </c>
      <c r="D63" s="319" t="s">
        <v>1382</v>
      </c>
      <c r="E63" s="327" t="str">
        <f>A63&amp;" "&amp;Information!$F$12</f>
        <v xml:space="preserve">MM Horses </v>
      </c>
      <c r="F63" s="339">
        <f>SUM('Scope 1'!G102:I102)</f>
        <v>0</v>
      </c>
      <c r="G63" s="336">
        <f t="shared" si="45"/>
        <v>0</v>
      </c>
      <c r="H63" s="337"/>
      <c r="I63" s="320"/>
      <c r="J63" s="320"/>
      <c r="K63" s="321"/>
      <c r="L63" s="320"/>
      <c r="M63" s="318">
        <f>IFERROR(VLOOKUP(E63,'Carbon Factors'!$B$2:$H$449,5,FALSE),0)</f>
        <v>0</v>
      </c>
      <c r="N63" s="320"/>
      <c r="O63" s="321"/>
      <c r="P63" s="323">
        <f t="shared" si="40"/>
        <v>0</v>
      </c>
      <c r="Q63" s="319">
        <f>IFERROR(VLOOKUP(E63,'Carbon Factors'!$B$2:$K$449,9,FALSE),0)</f>
        <v>0</v>
      </c>
      <c r="R63" s="320"/>
      <c r="S63" s="320"/>
      <c r="T63" s="320"/>
      <c r="U63" s="320"/>
      <c r="V63" s="328">
        <f t="shared" si="41"/>
        <v>0</v>
      </c>
      <c r="W63" s="329">
        <f t="shared" si="42"/>
        <v>0</v>
      </c>
      <c r="X63" s="319">
        <f t="shared" si="43"/>
        <v>0</v>
      </c>
      <c r="Y63" s="338"/>
      <c r="Z63" s="315">
        <f t="shared" si="44"/>
        <v>0</v>
      </c>
    </row>
    <row r="64" spans="1:31" ht="22" customHeight="1" x14ac:dyDescent="0.35">
      <c r="A64" s="316" t="s">
        <v>339</v>
      </c>
      <c r="B64" s="317" t="str" cm="1">
        <f t="array" ref="B64">IFERROR(_xlfn.IFS('Scope 1'!$G$86="YES", "YES", 'Scope 1'!$G$86="Jah","YES", 'Scope 1'!$G$86="Taip","YES",'Scope 1'!$G$86="Jā","YES"),"NO")</f>
        <v>YES</v>
      </c>
      <c r="C64" s="318">
        <f>IF(B64="YES",'Scope 1'!$E$103,0)</f>
        <v>0</v>
      </c>
      <c r="D64" s="319" t="s">
        <v>1382</v>
      </c>
      <c r="E64" s="327" t="str">
        <f>A64&amp;" "&amp;Information!$F$12</f>
        <v xml:space="preserve">MM Poultry </v>
      </c>
      <c r="F64" s="339">
        <f>SUM('Scope 1'!G103:I103)</f>
        <v>0</v>
      </c>
      <c r="G64" s="336">
        <f t="shared" si="45"/>
        <v>0</v>
      </c>
      <c r="H64" s="337"/>
      <c r="I64" s="320"/>
      <c r="J64" s="320"/>
      <c r="K64" s="321"/>
      <c r="L64" s="320"/>
      <c r="M64" s="318">
        <f>IFERROR(VLOOKUP(E64,'Carbon Factors'!$B$2:$H$449,5,FALSE),0)</f>
        <v>0</v>
      </c>
      <c r="N64" s="320"/>
      <c r="O64" s="321"/>
      <c r="P64" s="323">
        <f t="shared" si="40"/>
        <v>0</v>
      </c>
      <c r="Q64" s="319">
        <f>IFERROR(VLOOKUP(E64,'Carbon Factors'!$B$2:$K$449,9,FALSE),0)</f>
        <v>0</v>
      </c>
      <c r="R64" s="320"/>
      <c r="S64" s="320"/>
      <c r="T64" s="320"/>
      <c r="U64" s="320"/>
      <c r="V64" s="328">
        <f t="shared" si="41"/>
        <v>0</v>
      </c>
      <c r="W64" s="329">
        <f t="shared" si="42"/>
        <v>0</v>
      </c>
      <c r="X64" s="319">
        <f t="shared" si="43"/>
        <v>0</v>
      </c>
      <c r="Y64" s="338"/>
      <c r="Z64" s="315">
        <f t="shared" si="44"/>
        <v>0</v>
      </c>
    </row>
    <row r="65" spans="1:31" ht="22" customHeight="1" x14ac:dyDescent="0.35">
      <c r="A65" s="316" t="s">
        <v>340</v>
      </c>
      <c r="B65" s="317" t="str" cm="1">
        <f t="array" ref="B65">IFERROR(_xlfn.IFS('Scope 1'!$G$86="YES", "YES", 'Scope 1'!$G$86="Jah","YES", 'Scope 1'!$G$86="Taip","YES",'Scope 1'!$G$86="Jā","YES"),"NO")</f>
        <v>YES</v>
      </c>
      <c r="C65" s="318">
        <f>IF(B65="YES",'Scope 1'!$E$104,0)</f>
        <v>0</v>
      </c>
      <c r="D65" s="319" t="s">
        <v>1382</v>
      </c>
      <c r="E65" s="327" t="str">
        <f>A65&amp;" "&amp;Information!$F$12</f>
        <v xml:space="preserve">MM Rabbit </v>
      </c>
      <c r="F65" s="339">
        <f>SUM('Scope 1'!G104:I104)</f>
        <v>0</v>
      </c>
      <c r="G65" s="336">
        <f t="shared" si="45"/>
        <v>0</v>
      </c>
      <c r="H65" s="337"/>
      <c r="I65" s="320"/>
      <c r="J65" s="320"/>
      <c r="K65" s="321"/>
      <c r="L65" s="320"/>
      <c r="M65" s="318">
        <f>IFERROR(VLOOKUP(E65,'Carbon Factors'!$B$2:$H$449,5,FALSE),0)</f>
        <v>0</v>
      </c>
      <c r="N65" s="320"/>
      <c r="O65" s="321"/>
      <c r="P65" s="323">
        <f>G65*M65</f>
        <v>0</v>
      </c>
      <c r="Q65" s="319">
        <f>IFERROR(VLOOKUP(E65,'Carbon Factors'!$B$2:$K$449,9,FALSE),0)</f>
        <v>0</v>
      </c>
      <c r="R65" s="320"/>
      <c r="S65" s="320"/>
      <c r="T65" s="320"/>
      <c r="U65" s="320"/>
      <c r="V65" s="328">
        <f t="shared" si="41"/>
        <v>0</v>
      </c>
      <c r="W65" s="329">
        <f t="shared" si="42"/>
        <v>0</v>
      </c>
      <c r="X65" s="319">
        <f t="shared" si="43"/>
        <v>0</v>
      </c>
      <c r="Y65" s="338"/>
      <c r="Z65" s="315">
        <f t="shared" si="44"/>
        <v>0</v>
      </c>
    </row>
    <row r="66" spans="1:31" ht="22" customHeight="1" x14ac:dyDescent="0.35">
      <c r="A66" s="316" t="s">
        <v>341</v>
      </c>
      <c r="B66" s="317" t="str" cm="1">
        <f t="array" ref="B66">IFERROR(_xlfn.IFS('Scope 1'!$G$86="YES", "YES", 'Scope 1'!$G$86="Jah","YES", 'Scope 1'!$G$86="Taip","YES",'Scope 1'!$G$86="Jā","YES"),"NO")</f>
        <v>YES</v>
      </c>
      <c r="C66" s="318">
        <f>IF(B66="YES",'Scope 1'!$E$97,0)</f>
        <v>0</v>
      </c>
      <c r="D66" s="319" t="s">
        <v>1382</v>
      </c>
      <c r="E66" s="327" t="str">
        <f>A66&amp;" "&amp;Information!$F$12</f>
        <v xml:space="preserve">AS Dairy Cattle </v>
      </c>
      <c r="F66" s="339">
        <f>SUM('Scope 1'!G97:I97)</f>
        <v>0</v>
      </c>
      <c r="G66" s="336">
        <f>C66*F66</f>
        <v>0</v>
      </c>
      <c r="H66" s="337"/>
      <c r="I66" s="320"/>
      <c r="J66" s="320"/>
      <c r="K66" s="321"/>
      <c r="L66" s="320"/>
      <c r="M66" s="318">
        <f>IFERROR(VLOOKUP(E66,'Carbon Factors'!$B$2:$H$449,5,FALSE),0)</f>
        <v>0</v>
      </c>
      <c r="N66" s="320"/>
      <c r="O66" s="321"/>
      <c r="P66" s="323">
        <f t="shared" si="40"/>
        <v>0</v>
      </c>
      <c r="Q66" s="319">
        <f>IFERROR(VLOOKUP(E66,'Carbon Factors'!$B$2:$K$449,9,FALSE),0)</f>
        <v>0</v>
      </c>
      <c r="R66" s="320"/>
      <c r="S66" s="320"/>
      <c r="T66" s="320"/>
      <c r="U66" s="320"/>
      <c r="V66" s="328">
        <f t="shared" si="41"/>
        <v>0</v>
      </c>
      <c r="W66" s="329">
        <f t="shared" si="42"/>
        <v>0</v>
      </c>
      <c r="X66" s="319">
        <f t="shared" si="43"/>
        <v>0</v>
      </c>
      <c r="Y66" s="338"/>
      <c r="Z66" s="315">
        <f t="shared" si="44"/>
        <v>0</v>
      </c>
    </row>
    <row r="67" spans="1:31" ht="22" customHeight="1" x14ac:dyDescent="0.35">
      <c r="A67" s="316" t="s">
        <v>342</v>
      </c>
      <c r="B67" s="317" t="str" cm="1">
        <f t="array" ref="B67">IFERROR(_xlfn.IFS('Scope 1'!$G$86="YES", "YES", 'Scope 1'!$G$86="Jah","YES", 'Scope 1'!$G$86="Taip","YES",'Scope 1'!$G$86="Jā","YES"),"NO")</f>
        <v>YES</v>
      </c>
      <c r="C67" s="318">
        <f>IF(B67="YES",'Scope 1'!$E$98,0)</f>
        <v>0</v>
      </c>
      <c r="D67" s="319" t="s">
        <v>1382</v>
      </c>
      <c r="E67" s="327" t="str">
        <f>A67&amp;" "&amp;Information!$F$12</f>
        <v xml:space="preserve">AS Non-diary cattle </v>
      </c>
      <c r="F67" s="339">
        <f>SUM('Scope 1'!G98:I98)</f>
        <v>0</v>
      </c>
      <c r="G67" s="336">
        <f t="shared" ref="G67:G73" si="46">C67*F67</f>
        <v>0</v>
      </c>
      <c r="H67" s="337"/>
      <c r="I67" s="320"/>
      <c r="J67" s="320"/>
      <c r="K67" s="321"/>
      <c r="L67" s="320"/>
      <c r="M67" s="318">
        <f>IFERROR(VLOOKUP(E67,'Carbon Factors'!$B$2:$H$449,5,FALSE),0)</f>
        <v>0</v>
      </c>
      <c r="N67" s="320"/>
      <c r="O67" s="321"/>
      <c r="P67" s="323">
        <f t="shared" si="40"/>
        <v>0</v>
      </c>
      <c r="Q67" s="319">
        <f>IFERROR(VLOOKUP(E67,'Carbon Factors'!$B$2:$K$449,9,FALSE),0)</f>
        <v>0</v>
      </c>
      <c r="R67" s="320"/>
      <c r="S67" s="320"/>
      <c r="T67" s="320"/>
      <c r="U67" s="320"/>
      <c r="V67" s="328">
        <f t="shared" si="41"/>
        <v>0</v>
      </c>
      <c r="W67" s="329">
        <f t="shared" si="42"/>
        <v>0</v>
      </c>
      <c r="X67" s="319">
        <f t="shared" si="43"/>
        <v>0</v>
      </c>
      <c r="Y67" s="338"/>
      <c r="Z67" s="315">
        <f t="shared" si="44"/>
        <v>0</v>
      </c>
    </row>
    <row r="68" spans="1:31" ht="22" customHeight="1" x14ac:dyDescent="0.35">
      <c r="A68" s="316" t="s">
        <v>343</v>
      </c>
      <c r="B68" s="317" t="str" cm="1">
        <f t="array" ref="B68">IFERROR(_xlfn.IFS('Scope 1'!$G$86="YES", "YES", 'Scope 1'!$G$86="Jah","YES", 'Scope 1'!$G$86="Taip","YES",'Scope 1'!$G$86="Jā","YES"),"NO")</f>
        <v>YES</v>
      </c>
      <c r="C68" s="318">
        <f>IF(B68="YES",'Scope 1'!$E$99,0)</f>
        <v>0</v>
      </c>
      <c r="D68" s="319" t="s">
        <v>1382</v>
      </c>
      <c r="E68" s="327" t="str">
        <f>A68&amp;" "&amp;Information!$F$12</f>
        <v xml:space="preserve">AS Sheep </v>
      </c>
      <c r="F68" s="339">
        <f>SUM('Scope 1'!G99:I99)</f>
        <v>0</v>
      </c>
      <c r="G68" s="336">
        <f t="shared" si="46"/>
        <v>0</v>
      </c>
      <c r="H68" s="337"/>
      <c r="I68" s="320"/>
      <c r="J68" s="320"/>
      <c r="K68" s="321"/>
      <c r="L68" s="320"/>
      <c r="M68" s="318">
        <f>IFERROR(VLOOKUP(E68,'Carbon Factors'!$B$2:$H$449,5,FALSE),0)</f>
        <v>0</v>
      </c>
      <c r="N68" s="320"/>
      <c r="O68" s="321"/>
      <c r="P68" s="323">
        <f t="shared" si="40"/>
        <v>0</v>
      </c>
      <c r="Q68" s="319">
        <f>IFERROR(VLOOKUP(E68,'Carbon Factors'!$B$2:$K$449,9,FALSE),0)</f>
        <v>0</v>
      </c>
      <c r="R68" s="320"/>
      <c r="S68" s="320"/>
      <c r="T68" s="320"/>
      <c r="U68" s="320"/>
      <c r="V68" s="328">
        <f t="shared" si="41"/>
        <v>0</v>
      </c>
      <c r="W68" s="329">
        <f t="shared" si="42"/>
        <v>0</v>
      </c>
      <c r="X68" s="319">
        <f t="shared" si="43"/>
        <v>0</v>
      </c>
      <c r="Y68" s="338"/>
      <c r="Z68" s="315">
        <f t="shared" si="44"/>
        <v>0</v>
      </c>
    </row>
    <row r="69" spans="1:31" ht="22" customHeight="1" x14ac:dyDescent="0.35">
      <c r="A69" s="316" t="s">
        <v>344</v>
      </c>
      <c r="B69" s="317" t="str" cm="1">
        <f t="array" ref="B69">IFERROR(_xlfn.IFS('Scope 1'!$G$86="YES", "YES", 'Scope 1'!$G$86="Jah","YES", 'Scope 1'!$G$86="Taip","YES",'Scope 1'!$G$86="Jā","YES"),"NO")</f>
        <v>YES</v>
      </c>
      <c r="C69" s="318">
        <f>IF(B69="YES",'Scope 1'!$E$100,0)</f>
        <v>0</v>
      </c>
      <c r="D69" s="319" t="s">
        <v>1382</v>
      </c>
      <c r="E69" s="327" t="str">
        <f>A69&amp;" "&amp;Information!$F$12</f>
        <v xml:space="preserve">AS Rabbit </v>
      </c>
      <c r="F69" s="339">
        <f>SUM('Scope 1'!G100:I100)</f>
        <v>0</v>
      </c>
      <c r="G69" s="336">
        <f t="shared" si="46"/>
        <v>0</v>
      </c>
      <c r="H69" s="337"/>
      <c r="I69" s="320"/>
      <c r="J69" s="320"/>
      <c r="K69" s="321"/>
      <c r="L69" s="320"/>
      <c r="M69" s="318">
        <f>IFERROR(VLOOKUP(E69,'Carbon Factors'!$B$2:$H$449,5,FALSE),0)</f>
        <v>0</v>
      </c>
      <c r="N69" s="320"/>
      <c r="O69" s="321"/>
      <c r="P69" s="323">
        <f t="shared" si="40"/>
        <v>0</v>
      </c>
      <c r="Q69" s="319">
        <f>IFERROR(VLOOKUP(E69,'Carbon Factors'!$B$2:$K$449,9,FALSE),0)</f>
        <v>0</v>
      </c>
      <c r="R69" s="320"/>
      <c r="S69" s="320"/>
      <c r="T69" s="320"/>
      <c r="U69" s="320"/>
      <c r="V69" s="328">
        <f t="shared" si="41"/>
        <v>0</v>
      </c>
      <c r="W69" s="329">
        <f t="shared" si="42"/>
        <v>0</v>
      </c>
      <c r="X69" s="319">
        <f t="shared" si="43"/>
        <v>0</v>
      </c>
      <c r="Y69" s="338"/>
      <c r="Z69" s="315">
        <f t="shared" si="44"/>
        <v>0</v>
      </c>
    </row>
    <row r="70" spans="1:31" ht="22" customHeight="1" x14ac:dyDescent="0.35">
      <c r="A70" s="316" t="s">
        <v>345</v>
      </c>
      <c r="B70" s="317" t="str" cm="1">
        <f t="array" ref="B70">IFERROR(_xlfn.IFS('Scope 1'!$G$86="YES", "YES", 'Scope 1'!$G$86="Jah","YES", 'Scope 1'!$G$86="Taip","YES",'Scope 1'!$G$86="Jā","YES"),"NO")</f>
        <v>YES</v>
      </c>
      <c r="C70" s="318">
        <f>IF(B70="YES",'Scope 1'!$E$101,0)</f>
        <v>0</v>
      </c>
      <c r="D70" s="319" t="s">
        <v>1382</v>
      </c>
      <c r="E70" s="327" t="str">
        <f>A70&amp;" "&amp;Information!$F$12</f>
        <v xml:space="preserve">AS Swine </v>
      </c>
      <c r="F70" s="339">
        <f>SUM('Scope 1'!G101:I101)</f>
        <v>0</v>
      </c>
      <c r="G70" s="336">
        <f t="shared" si="46"/>
        <v>0</v>
      </c>
      <c r="H70" s="337"/>
      <c r="I70" s="320"/>
      <c r="J70" s="320"/>
      <c r="K70" s="321"/>
      <c r="L70" s="320"/>
      <c r="M70" s="318">
        <f>IFERROR(VLOOKUP(E70,'Carbon Factors'!$B$2:$H$449,5,FALSE),0)</f>
        <v>0</v>
      </c>
      <c r="N70" s="320"/>
      <c r="O70" s="321"/>
      <c r="P70" s="323">
        <f t="shared" si="40"/>
        <v>0</v>
      </c>
      <c r="Q70" s="319">
        <f>IFERROR(VLOOKUP(E70,'Carbon Factors'!$B$2:$K$449,9,FALSE),0)</f>
        <v>0</v>
      </c>
      <c r="R70" s="320"/>
      <c r="S70" s="320"/>
      <c r="T70" s="320"/>
      <c r="U70" s="320"/>
      <c r="V70" s="328">
        <f t="shared" si="41"/>
        <v>0</v>
      </c>
      <c r="W70" s="329">
        <f t="shared" si="42"/>
        <v>0</v>
      </c>
      <c r="X70" s="319">
        <f t="shared" si="43"/>
        <v>0</v>
      </c>
      <c r="Y70" s="338"/>
      <c r="Z70" s="315">
        <f t="shared" si="44"/>
        <v>0</v>
      </c>
    </row>
    <row r="71" spans="1:31" ht="22" customHeight="1" x14ac:dyDescent="0.35">
      <c r="A71" s="316" t="s">
        <v>346</v>
      </c>
      <c r="B71" s="317" t="str" cm="1">
        <f t="array" ref="B71">IFERROR(_xlfn.IFS('Scope 1'!$G$86="YES", "YES", 'Scope 1'!$G$86="Jah","YES", 'Scope 1'!$G$86="Taip","YES",'Scope 1'!$G$86="Jā","YES"),"NO")</f>
        <v>YES</v>
      </c>
      <c r="C71" s="318">
        <f>IF(B71="YES",'Scope 1'!$E$102,0)</f>
        <v>0</v>
      </c>
      <c r="D71" s="319" t="s">
        <v>1382</v>
      </c>
      <c r="E71" s="327" t="str">
        <f>A71&amp;" "&amp;Information!$F$12</f>
        <v xml:space="preserve">AS Goats </v>
      </c>
      <c r="F71" s="339">
        <f>SUM('Scope 1'!G102:I102)</f>
        <v>0</v>
      </c>
      <c r="G71" s="336">
        <f t="shared" si="46"/>
        <v>0</v>
      </c>
      <c r="H71" s="337"/>
      <c r="I71" s="320"/>
      <c r="J71" s="320"/>
      <c r="K71" s="321"/>
      <c r="L71" s="320"/>
      <c r="M71" s="318">
        <f>IFERROR(VLOOKUP(E71,'Carbon Factors'!$B$2:$H$449,5,FALSE),0)</f>
        <v>0</v>
      </c>
      <c r="N71" s="320"/>
      <c r="O71" s="321"/>
      <c r="P71" s="323">
        <f t="shared" si="40"/>
        <v>0</v>
      </c>
      <c r="Q71" s="319">
        <f>IFERROR(VLOOKUP(E71,'Carbon Factors'!$B$2:$K$449,9,FALSE),0)</f>
        <v>0</v>
      </c>
      <c r="R71" s="320"/>
      <c r="S71" s="320"/>
      <c r="T71" s="320"/>
      <c r="U71" s="320"/>
      <c r="V71" s="328">
        <f t="shared" si="41"/>
        <v>0</v>
      </c>
      <c r="W71" s="329">
        <f t="shared" si="42"/>
        <v>0</v>
      </c>
      <c r="X71" s="319">
        <f t="shared" si="43"/>
        <v>0</v>
      </c>
      <c r="Y71" s="338"/>
      <c r="Z71" s="315">
        <f t="shared" si="44"/>
        <v>0</v>
      </c>
    </row>
    <row r="72" spans="1:31" ht="22" customHeight="1" x14ac:dyDescent="0.35">
      <c r="A72" s="316" t="s">
        <v>347</v>
      </c>
      <c r="B72" s="317" t="str" cm="1">
        <f t="array" ref="B72">IFERROR(_xlfn.IFS('Scope 1'!$G$86="YES", "YES", 'Scope 1'!$G$86="Jah","YES", 'Scope 1'!$G$86="Taip","YES",'Scope 1'!$G$86="Jā","YES"),"NO")</f>
        <v>YES</v>
      </c>
      <c r="C72" s="318">
        <f>IF(B72="YES",'Scope 1'!$E$103,0)</f>
        <v>0</v>
      </c>
      <c r="D72" s="319" t="s">
        <v>1382</v>
      </c>
      <c r="E72" s="327" t="str">
        <f>A72&amp;" "&amp;Information!$F$12</f>
        <v xml:space="preserve">AS Horses </v>
      </c>
      <c r="F72" s="339">
        <f>SUM('Scope 1'!G103:I103)</f>
        <v>0</v>
      </c>
      <c r="G72" s="336">
        <f t="shared" si="46"/>
        <v>0</v>
      </c>
      <c r="H72" s="337"/>
      <c r="I72" s="320"/>
      <c r="J72" s="320"/>
      <c r="K72" s="321"/>
      <c r="L72" s="320"/>
      <c r="M72" s="318">
        <f>IFERROR(VLOOKUP(E72,'Carbon Factors'!$B$2:$H$449,5,FALSE),0)</f>
        <v>0</v>
      </c>
      <c r="N72" s="320"/>
      <c r="O72" s="321"/>
      <c r="P72" s="323">
        <f t="shared" si="40"/>
        <v>0</v>
      </c>
      <c r="Q72" s="319">
        <f>IFERROR(VLOOKUP(E72,'Carbon Factors'!$B$2:$K$449,9,FALSE),0)</f>
        <v>0</v>
      </c>
      <c r="R72" s="320"/>
      <c r="S72" s="320"/>
      <c r="T72" s="320"/>
      <c r="U72" s="320"/>
      <c r="V72" s="328">
        <f t="shared" si="41"/>
        <v>0</v>
      </c>
      <c r="W72" s="329">
        <f t="shared" si="42"/>
        <v>0</v>
      </c>
      <c r="X72" s="319">
        <f t="shared" si="43"/>
        <v>0</v>
      </c>
      <c r="Y72" s="338"/>
      <c r="Z72" s="315">
        <f t="shared" si="44"/>
        <v>0</v>
      </c>
    </row>
    <row r="73" spans="1:31" ht="22" customHeight="1" x14ac:dyDescent="0.35">
      <c r="A73" s="316" t="s">
        <v>348</v>
      </c>
      <c r="B73" s="317" t="str" cm="1">
        <f t="array" ref="B73">IFERROR(_xlfn.IFS('Scope 1'!$G$86="YES", "YES", 'Scope 1'!$G$86="Jah","YES", 'Scope 1'!$G$86="Taip","YES",'Scope 1'!$G$86="Jā","YES"),"NO")</f>
        <v>YES</v>
      </c>
      <c r="C73" s="318">
        <f>IF(B73="YES",'Scope 1'!$E$104,0)</f>
        <v>0</v>
      </c>
      <c r="D73" s="319" t="s">
        <v>1382</v>
      </c>
      <c r="E73" s="327" t="str">
        <f>A73&amp;" "&amp;Information!$F$12</f>
        <v xml:space="preserve">AS Poultry </v>
      </c>
      <c r="F73" s="382">
        <f>SUM('Scope 1'!G104:I104)</f>
        <v>0</v>
      </c>
      <c r="G73" s="340">
        <f t="shared" si="46"/>
        <v>0</v>
      </c>
      <c r="H73" s="337"/>
      <c r="I73" s="320"/>
      <c r="J73" s="320"/>
      <c r="K73" s="321"/>
      <c r="L73" s="320"/>
      <c r="M73" s="318">
        <f>IFERROR(VLOOKUP(E73,'Carbon Factors'!$B$2:$H$449,5,FALSE),0)</f>
        <v>0</v>
      </c>
      <c r="N73" s="320"/>
      <c r="O73" s="321"/>
      <c r="P73" s="323">
        <f t="shared" si="40"/>
        <v>0</v>
      </c>
      <c r="Q73" s="319">
        <f>IFERROR(VLOOKUP(E73,'Carbon Factors'!$B$2:$K$449,9,FALSE),0)</f>
        <v>0</v>
      </c>
      <c r="R73" s="320"/>
      <c r="S73" s="320"/>
      <c r="T73" s="320"/>
      <c r="U73" s="320"/>
      <c r="V73" s="328">
        <f t="shared" si="41"/>
        <v>0</v>
      </c>
      <c r="W73" s="329">
        <f t="shared" si="42"/>
        <v>0</v>
      </c>
      <c r="X73" s="319">
        <f t="shared" si="43"/>
        <v>0</v>
      </c>
      <c r="Y73" s="338"/>
      <c r="Z73" s="315">
        <f t="shared" si="44"/>
        <v>0</v>
      </c>
    </row>
    <row r="74" spans="1:31" ht="22" customHeight="1" x14ac:dyDescent="0.35">
      <c r="A74" s="316" t="s">
        <v>95</v>
      </c>
      <c r="B74" s="317" t="str" cm="1">
        <f t="array" ref="B74">IFERROR(_xlfn.IFS('Scope 1'!$G$86="YES", "YES", 'Scope 1'!$G$86="Jah","YES", 'Scope 1'!$G$86="Taip","YES",'Scope 1'!$G$86="Jā","YES"),"NO")</f>
        <v>YES</v>
      </c>
      <c r="C74" s="318">
        <f>IF(B74="YES", 'Scope 1'!F111, 0)</f>
        <v>0</v>
      </c>
      <c r="D74" s="319" t="str">
        <f>'Scope 1'!G111</f>
        <v>kg</v>
      </c>
      <c r="E74" s="319" t="str">
        <f>A74&amp;" "&amp;Information!$F$12</f>
        <v xml:space="preserve">Non-urea nitrogen </v>
      </c>
      <c r="F74" s="383"/>
      <c r="G74" s="385">
        <f>C74</f>
        <v>0</v>
      </c>
      <c r="H74" s="320"/>
      <c r="I74" s="320"/>
      <c r="J74" s="320"/>
      <c r="K74" s="321"/>
      <c r="L74" s="320"/>
      <c r="M74" s="318">
        <f>IFERROR(VLOOKUP(E74,'Carbon Factors'!$B$2:$H$449,5,FALSE),0)</f>
        <v>0</v>
      </c>
      <c r="N74" s="320"/>
      <c r="O74" s="321"/>
      <c r="P74" s="323">
        <f t="shared" si="40"/>
        <v>0</v>
      </c>
      <c r="Q74" s="319">
        <f>IFERROR(VLOOKUP(E74,'Carbon Factors'!$B$2:$K$449,9,FALSE),0)</f>
        <v>0</v>
      </c>
      <c r="R74" s="320"/>
      <c r="S74" s="320"/>
      <c r="T74" s="320"/>
      <c r="U74" s="320"/>
      <c r="V74" s="328">
        <f t="shared" si="41"/>
        <v>0</v>
      </c>
      <c r="W74" s="329">
        <f t="shared" si="42"/>
        <v>0</v>
      </c>
      <c r="X74" s="319">
        <f t="shared" si="43"/>
        <v>0</v>
      </c>
      <c r="Y74" s="338"/>
      <c r="Z74" s="315">
        <f t="shared" si="44"/>
        <v>0</v>
      </c>
    </row>
    <row r="75" spans="1:31" ht="22" customHeight="1" x14ac:dyDescent="0.35">
      <c r="A75" s="316" t="s">
        <v>96</v>
      </c>
      <c r="B75" s="317" t="str" cm="1">
        <f t="array" ref="B75">IFERROR(_xlfn.IFS('Scope 1'!$G$86="YES", "YES", 'Scope 1'!$G$86="Jah","YES", 'Scope 1'!$G$86="Taip","YES",'Scope 1'!$G$86="Jā","YES"),"NO")</f>
        <v>YES</v>
      </c>
      <c r="C75" s="318">
        <f>IF(B75="YES", 'Scope 1'!F112, 0)</f>
        <v>0</v>
      </c>
      <c r="D75" s="319" t="str">
        <f>'Scope 1'!G112</f>
        <v>kg</v>
      </c>
      <c r="E75" s="319" t="str">
        <f>A75&amp;" "&amp;Information!$F$12</f>
        <v xml:space="preserve">Urea nitrogen not coated with urease inhibitor </v>
      </c>
      <c r="F75" s="383"/>
      <c r="G75" s="385">
        <f t="shared" ref="G75:G76" si="47">C75</f>
        <v>0</v>
      </c>
      <c r="H75" s="320"/>
      <c r="I75" s="320"/>
      <c r="J75" s="320"/>
      <c r="K75" s="321"/>
      <c r="L75" s="320"/>
      <c r="M75" s="318">
        <f>IFERROR(VLOOKUP(E75,'Carbon Factors'!$B$2:$H$449,5,FALSE),0)</f>
        <v>0</v>
      </c>
      <c r="N75" s="320"/>
      <c r="O75" s="321"/>
      <c r="P75" s="323">
        <f>G75*M75</f>
        <v>0</v>
      </c>
      <c r="Q75" s="319">
        <f>IFERROR(VLOOKUP(E75,'Carbon Factors'!$B$2:$K$449,9,FALSE),0)</f>
        <v>0</v>
      </c>
      <c r="R75" s="320"/>
      <c r="S75" s="320"/>
      <c r="T75" s="320"/>
      <c r="U75" s="320"/>
      <c r="V75" s="328">
        <f t="shared" si="41"/>
        <v>0</v>
      </c>
      <c r="W75" s="329">
        <f t="shared" si="42"/>
        <v>0</v>
      </c>
      <c r="X75" s="319">
        <f t="shared" si="43"/>
        <v>0</v>
      </c>
      <c r="Y75" s="338"/>
      <c r="Z75" s="315">
        <f t="shared" si="44"/>
        <v>0</v>
      </c>
    </row>
    <row r="76" spans="1:31" ht="22" customHeight="1" thickBot="1" x14ac:dyDescent="0.4">
      <c r="A76" s="341" t="s">
        <v>97</v>
      </c>
      <c r="B76" s="317" t="str" cm="1">
        <f t="array" ref="B76">IFERROR(_xlfn.IFS('Scope 1'!$G$86="YES", "YES", 'Scope 1'!$G$86="Jah","YES", 'Scope 1'!$G$86="Taip","YES",'Scope 1'!$G$86="Jā","YES"),"NO")</f>
        <v>YES</v>
      </c>
      <c r="C76" s="318">
        <f>IF(B76="YES", 'Scope 1'!F113, 0)</f>
        <v>0</v>
      </c>
      <c r="D76" s="319" t="str">
        <f>'Scope 1'!G113</f>
        <v>kg</v>
      </c>
      <c r="E76" s="319" t="str">
        <f>A76&amp;" "&amp;Information!$F$12</f>
        <v xml:space="preserve">Urea nitrogen coated with urease inhibitor </v>
      </c>
      <c r="F76" s="384"/>
      <c r="G76" s="386">
        <f t="shared" si="47"/>
        <v>0</v>
      </c>
      <c r="H76" s="320"/>
      <c r="I76" s="320"/>
      <c r="J76" s="320"/>
      <c r="K76" s="321"/>
      <c r="L76" s="320"/>
      <c r="M76" s="318">
        <f>IFERROR(VLOOKUP(E76,'Carbon Factors'!$B$2:$H$449,5,FALSE),0)</f>
        <v>0</v>
      </c>
      <c r="N76" s="320"/>
      <c r="O76" s="321"/>
      <c r="P76" s="323">
        <f t="shared" si="40"/>
        <v>0</v>
      </c>
      <c r="Q76" s="319">
        <f>IFERROR(VLOOKUP(E76,'Carbon Factors'!$B$2:$K$449,9,FALSE),0)</f>
        <v>0</v>
      </c>
      <c r="R76" s="320"/>
      <c r="S76" s="320"/>
      <c r="T76" s="320"/>
      <c r="U76" s="320"/>
      <c r="V76" s="328">
        <f t="shared" si="41"/>
        <v>0</v>
      </c>
      <c r="W76" s="329">
        <f t="shared" si="42"/>
        <v>0</v>
      </c>
      <c r="X76" s="319">
        <f t="shared" si="43"/>
        <v>0</v>
      </c>
      <c r="Y76" s="338"/>
      <c r="Z76" s="315">
        <f t="shared" si="44"/>
        <v>0</v>
      </c>
      <c r="AA76" s="342"/>
      <c r="AB76" s="301" t="s">
        <v>988</v>
      </c>
      <c r="AC76" s="301" t="s">
        <v>989</v>
      </c>
      <c r="AD76" s="301" t="s">
        <v>1384</v>
      </c>
      <c r="AE76" s="302" t="s">
        <v>1168</v>
      </c>
    </row>
    <row r="77" spans="1:31" ht="22" customHeight="1" x14ac:dyDescent="0.35">
      <c r="A77" s="343" t="s">
        <v>192</v>
      </c>
      <c r="B77" s="344"/>
      <c r="C77" s="533"/>
      <c r="D77" s="534"/>
      <c r="E77" s="534"/>
      <c r="F77" s="535"/>
      <c r="G77" s="535"/>
      <c r="H77" s="534"/>
      <c r="I77" s="534"/>
      <c r="J77" s="534"/>
      <c r="K77" s="536"/>
      <c r="L77" s="305"/>
      <c r="M77" s="527"/>
      <c r="N77" s="528"/>
      <c r="O77" s="529"/>
      <c r="P77" s="527"/>
      <c r="Q77" s="528"/>
      <c r="R77" s="528"/>
      <c r="S77" s="528"/>
      <c r="T77" s="528"/>
      <c r="U77" s="529"/>
      <c r="V77" s="530"/>
      <c r="W77" s="531"/>
      <c r="X77" s="531"/>
      <c r="Y77" s="531"/>
      <c r="Z77" s="532"/>
      <c r="AA77" s="307" t="s">
        <v>1400</v>
      </c>
      <c r="AB77" s="308">
        <f>AB78+AB86</f>
        <v>0</v>
      </c>
      <c r="AC77" s="308">
        <f t="shared" ref="AC77:AD77" si="48">AC78+AC86</f>
        <v>0</v>
      </c>
      <c r="AD77" s="308">
        <f t="shared" si="48"/>
        <v>0</v>
      </c>
      <c r="AE77" s="309">
        <f>IFERROR(AB77/AD77,0)</f>
        <v>0</v>
      </c>
    </row>
    <row r="78" spans="1:31" ht="22" customHeight="1" x14ac:dyDescent="0.35">
      <c r="A78" s="310" t="s">
        <v>198</v>
      </c>
      <c r="B78" s="311"/>
      <c r="C78" s="524"/>
      <c r="D78" s="525"/>
      <c r="E78" s="525"/>
      <c r="F78" s="525"/>
      <c r="G78" s="525"/>
      <c r="H78" s="525"/>
      <c r="I78" s="525"/>
      <c r="J78" s="525"/>
      <c r="K78" s="526"/>
      <c r="L78" s="332"/>
      <c r="M78" s="524"/>
      <c r="N78" s="525"/>
      <c r="O78" s="526"/>
      <c r="P78" s="524"/>
      <c r="Q78" s="525"/>
      <c r="R78" s="525"/>
      <c r="S78" s="525"/>
      <c r="T78" s="525"/>
      <c r="U78" s="526"/>
      <c r="V78" s="518"/>
      <c r="W78" s="519"/>
      <c r="X78" s="519"/>
      <c r="Y78" s="519"/>
      <c r="Z78" s="520"/>
      <c r="AA78" s="313" t="s">
        <v>1399</v>
      </c>
      <c r="AB78" s="314">
        <f>SUM(X79:X84)</f>
        <v>0</v>
      </c>
      <c r="AC78" s="314">
        <f>SUM(Y79:Y84)</f>
        <v>0</v>
      </c>
      <c r="AD78" s="314">
        <f>SUM(V79:V84)</f>
        <v>0</v>
      </c>
      <c r="AE78" s="315">
        <f>IFERROR(AB78/AD78,0)</f>
        <v>0</v>
      </c>
    </row>
    <row r="79" spans="1:31" ht="22" customHeight="1" x14ac:dyDescent="0.35">
      <c r="A79" s="316" t="s">
        <v>267</v>
      </c>
      <c r="B79" s="317" t="str">
        <f>IFERROR(IF('Scope 2'!H15&gt;0,"YES","NO"),"NO")</f>
        <v>NO</v>
      </c>
      <c r="C79" s="318">
        <f>IF(B79="Yes",'Scope 2'!H16,0)</f>
        <v>0</v>
      </c>
      <c r="D79" s="319" t="str">
        <f>'Scope 2'!K16</f>
        <v>MWh</v>
      </c>
      <c r="E79" s="319" t="str">
        <f>"Electricity - "&amp;'Scope 2'!$H$15&amp;" ("&amp;D79&amp;")"&amp;Information!$F$10</f>
        <v>Electricity - 0 (MWh)</v>
      </c>
      <c r="F79" s="319" t="str">
        <f>'Scope 2'!$H$15&amp;" - Distribution and trade of electricity"</f>
        <v>0 - Distribution and trade of electricity</v>
      </c>
      <c r="G79" s="320"/>
      <c r="H79" s="319">
        <f>IF(B79="YES",'Scope 2'!H20, 0)</f>
        <v>0</v>
      </c>
      <c r="I79" s="319" t="str">
        <f>'Scope 2'!K20</f>
        <v>EUR</v>
      </c>
      <c r="J79" s="320"/>
      <c r="K79" s="321"/>
      <c r="L79" s="320"/>
      <c r="M79" s="322">
        <f>IFERROR(VLOOKUP(E79,'Carbon Factors'!$B$2:$H$449,5,FALSE),0)</f>
        <v>0</v>
      </c>
      <c r="N79" s="319">
        <f>IFERROR(VLOOKUP(F79,'Carbon Factors'!$B$2:$H$449,5,FALSE),0)</f>
        <v>0</v>
      </c>
      <c r="O79" s="321"/>
      <c r="P79" s="323">
        <f t="shared" ref="P79" si="49">C79*M79</f>
        <v>0</v>
      </c>
      <c r="Q79" s="319">
        <f>IFERROR(VLOOKUP(E79,'Carbon Factors'!$B$2:$K$449,9,FALSE),0)</f>
        <v>0</v>
      </c>
      <c r="R79" s="319">
        <f>N79*H79</f>
        <v>0</v>
      </c>
      <c r="S79" s="319">
        <f>IFERROR(VLOOKUP(F79,'Carbon Factors'!$B$2:$K$449,9,FALSE),0)</f>
        <v>0</v>
      </c>
      <c r="T79" s="320"/>
      <c r="U79" s="321"/>
      <c r="V79" s="318">
        <f>P79+R79</f>
        <v>0</v>
      </c>
      <c r="W79" s="319">
        <f>Q79</f>
        <v>0</v>
      </c>
      <c r="X79" s="319">
        <f>P79</f>
        <v>0</v>
      </c>
      <c r="Y79" s="319">
        <f>R79</f>
        <v>0</v>
      </c>
      <c r="Z79" s="315">
        <f>IFERROR(P79/V79,0)</f>
        <v>0</v>
      </c>
    </row>
    <row r="80" spans="1:31" ht="22" customHeight="1" x14ac:dyDescent="0.35">
      <c r="A80" s="316" t="s">
        <v>267</v>
      </c>
      <c r="B80" s="317" t="str">
        <f>IFERROR(IF('Scope 2'!I15&gt;0,"YES","NO"),"NO")</f>
        <v>NO</v>
      </c>
      <c r="C80" s="318">
        <f>IF(B80="Yes",'Scope 2'!I16,0)</f>
        <v>0</v>
      </c>
      <c r="D80" s="319" t="str">
        <f>'Scope 2'!K16</f>
        <v>MWh</v>
      </c>
      <c r="E80" s="319" t="str">
        <f>"Electricity - "&amp;'Scope 2'!$I$15&amp;" ("&amp;D80&amp;")"&amp;Information!$F$10</f>
        <v>Electricity -  (MWh)</v>
      </c>
      <c r="F80" s="319" t="str">
        <f>'Scope 2'!$I$15&amp;" - Distribution and trade of electricity"</f>
        <v xml:space="preserve"> - Distribution and trade of electricity</v>
      </c>
      <c r="G80" s="320"/>
      <c r="H80" s="319">
        <f>IF(B80="YES", 'Scope 2'!I20, 0)</f>
        <v>0</v>
      </c>
      <c r="I80" s="319" t="str">
        <f>'Scope 2'!K20</f>
        <v>EUR</v>
      </c>
      <c r="J80" s="320"/>
      <c r="K80" s="321"/>
      <c r="L80" s="320"/>
      <c r="M80" s="322">
        <f>IFERROR(VLOOKUP(E80,'Carbon Factors'!$B$2:$H$449,5,FALSE),0)</f>
        <v>0</v>
      </c>
      <c r="N80" s="319">
        <f>IFERROR(VLOOKUP(F80,'Carbon Factors'!$B$2:$H$449,5,FALSE),0)</f>
        <v>0</v>
      </c>
      <c r="O80" s="321"/>
      <c r="P80" s="323">
        <f t="shared" ref="P80:P84" si="50">C80*M80</f>
        <v>0</v>
      </c>
      <c r="Q80" s="319">
        <f>IFERROR(VLOOKUP(E80,'Carbon Factors'!$B$2:$K$449,9,FALSE),0)</f>
        <v>0</v>
      </c>
      <c r="R80" s="319">
        <f t="shared" ref="R80:R84" si="51">N80*H80</f>
        <v>0</v>
      </c>
      <c r="S80" s="319">
        <f>IFERROR(VLOOKUP(F80,'Carbon Factors'!$B$2:$K$449,9,FALSE),0)</f>
        <v>0</v>
      </c>
      <c r="T80" s="320"/>
      <c r="U80" s="321"/>
      <c r="V80" s="318">
        <f t="shared" ref="V80:V84" si="52">P80+R80</f>
        <v>0</v>
      </c>
      <c r="W80" s="319">
        <f t="shared" ref="W80:W84" si="53">Q80</f>
        <v>0</v>
      </c>
      <c r="X80" s="319">
        <f t="shared" ref="X80:X84" si="54">P80</f>
        <v>0</v>
      </c>
      <c r="Y80" s="319">
        <f t="shared" ref="Y80:Y84" si="55">R80</f>
        <v>0</v>
      </c>
      <c r="Z80" s="315">
        <f t="shared" ref="Z80:Z84" si="56">IFERROR(P80/V80,0)</f>
        <v>0</v>
      </c>
    </row>
    <row r="81" spans="1:31" ht="22" customHeight="1" thickBot="1" x14ac:dyDescent="0.4">
      <c r="A81" s="316" t="s">
        <v>267</v>
      </c>
      <c r="B81" s="317" t="str">
        <f>IFERROR(IF('Scope 2'!J15&gt;0,"YES","NO"),"NO")</f>
        <v>NO</v>
      </c>
      <c r="C81" s="318">
        <f>IF(B81="Yes",'Scope 2'!J16,0)</f>
        <v>0</v>
      </c>
      <c r="D81" s="319" t="str">
        <f>'Scope 2'!K16</f>
        <v>MWh</v>
      </c>
      <c r="E81" s="319" t="str">
        <f>"Electricity - "&amp;'Scope 2'!$J$15&amp;" ("&amp;D81&amp;")"&amp;Information!$F$10</f>
        <v>Electricity -  (MWh)</v>
      </c>
      <c r="F81" s="319" t="str">
        <f>'Scope 2'!$J$15&amp;" - Distribution and trade of electricity"</f>
        <v xml:space="preserve"> - Distribution and trade of electricity</v>
      </c>
      <c r="G81" s="320"/>
      <c r="H81" s="319">
        <f>IF(B81="YES", 'Scope 2'!J20, 0)</f>
        <v>0</v>
      </c>
      <c r="I81" s="319" t="str">
        <f>'Scope 2'!K20</f>
        <v>EUR</v>
      </c>
      <c r="J81" s="320"/>
      <c r="K81" s="321"/>
      <c r="L81" s="320"/>
      <c r="M81" s="322">
        <f>IFERROR(VLOOKUP(E81,'Carbon Factors'!$B$2:$H$449,5,FALSE),0)</f>
        <v>0</v>
      </c>
      <c r="N81" s="319">
        <f>IFERROR(VLOOKUP(F81,'Carbon Factors'!$B$2:$H$449,5,FALSE),0)</f>
        <v>0</v>
      </c>
      <c r="O81" s="321"/>
      <c r="P81" s="323">
        <f t="shared" si="50"/>
        <v>0</v>
      </c>
      <c r="Q81" s="319">
        <f>IFERROR(VLOOKUP(E81,'Carbon Factors'!$B$2:$K$449,9,FALSE),0)</f>
        <v>0</v>
      </c>
      <c r="R81" s="319">
        <f t="shared" si="51"/>
        <v>0</v>
      </c>
      <c r="S81" s="319">
        <f>IFERROR(VLOOKUP(F81,'Carbon Factors'!$B$2:$K$449,9,FALSE),0)</f>
        <v>0</v>
      </c>
      <c r="T81" s="320"/>
      <c r="U81" s="321"/>
      <c r="V81" s="318">
        <f t="shared" si="52"/>
        <v>0</v>
      </c>
      <c r="W81" s="319">
        <f t="shared" si="53"/>
        <v>0</v>
      </c>
      <c r="X81" s="319">
        <f t="shared" si="54"/>
        <v>0</v>
      </c>
      <c r="Y81" s="319">
        <f t="shared" si="55"/>
        <v>0</v>
      </c>
      <c r="Z81" s="315">
        <f t="shared" si="56"/>
        <v>0</v>
      </c>
    </row>
    <row r="82" spans="1:31" ht="22" customHeight="1" x14ac:dyDescent="0.35">
      <c r="A82" s="316" t="s">
        <v>268</v>
      </c>
      <c r="B82" s="317" t="str" cm="1">
        <f t="array" ref="B82">IFERROR(_xlfn.IFS('Scope 2'!H17="YES","YES"),"NO")</f>
        <v>NO</v>
      </c>
      <c r="C82" s="318">
        <f>IF(B82="Yes",'Scope 2'!H18,0)</f>
        <v>0</v>
      </c>
      <c r="D82" s="319" t="str">
        <f>'Scope 2'!K18</f>
        <v>MWh</v>
      </c>
      <c r="E82" s="319" t="str">
        <f>"Electricity - "&amp;'Scope 2'!$H$15&amp;" ("&amp;D82&amp;")"&amp;Information!$F$10</f>
        <v>Electricity - 0 (MWh)</v>
      </c>
      <c r="F82" s="319" t="str">
        <f>'Scope 2'!$H$15&amp;" - Distribution and trade of electricity"</f>
        <v>0 - Distribution and trade of electricity</v>
      </c>
      <c r="G82" s="320"/>
      <c r="H82" s="319">
        <f>IF(B82="YES", 'Scope 2'!H21, 0)</f>
        <v>0</v>
      </c>
      <c r="I82" s="319" t="str">
        <f>'Scope 2'!K21</f>
        <v>EUR</v>
      </c>
      <c r="J82" s="320"/>
      <c r="K82" s="321"/>
      <c r="L82" s="320"/>
      <c r="M82" s="376">
        <v>0</v>
      </c>
      <c r="N82" s="377">
        <v>0</v>
      </c>
      <c r="O82" s="321"/>
      <c r="P82" s="323">
        <f t="shared" si="50"/>
        <v>0</v>
      </c>
      <c r="Q82" s="319">
        <f>IFERROR(VLOOKUP(E82,'Carbon Factors'!$B$2:$K$449,9,FALSE),0)</f>
        <v>0</v>
      </c>
      <c r="R82" s="319">
        <f t="shared" si="51"/>
        <v>0</v>
      </c>
      <c r="S82" s="319">
        <f>IFERROR(VLOOKUP(F82,'Carbon Factors'!$B$2:$K$449,9,FALSE),0)</f>
        <v>0</v>
      </c>
      <c r="T82" s="320"/>
      <c r="U82" s="321"/>
      <c r="V82" s="318">
        <f t="shared" si="52"/>
        <v>0</v>
      </c>
      <c r="W82" s="319">
        <f t="shared" si="53"/>
        <v>0</v>
      </c>
      <c r="X82" s="319">
        <f t="shared" si="54"/>
        <v>0</v>
      </c>
      <c r="Y82" s="319">
        <f t="shared" si="55"/>
        <v>0</v>
      </c>
      <c r="Z82" s="315">
        <f t="shared" si="56"/>
        <v>0</v>
      </c>
    </row>
    <row r="83" spans="1:31" ht="22" customHeight="1" x14ac:dyDescent="0.35">
      <c r="A83" s="316" t="s">
        <v>268</v>
      </c>
      <c r="B83" s="317" t="str" cm="1">
        <f t="array" ref="B83">IFERROR(_xlfn.IFS('Scope 2'!I17="YES","YES"),"NO")</f>
        <v>NO</v>
      </c>
      <c r="C83" s="318">
        <f>IF(B83="Yes",'Scope 2'!I18,0)</f>
        <v>0</v>
      </c>
      <c r="D83" s="319" t="str">
        <f>'Scope 2'!K18</f>
        <v>MWh</v>
      </c>
      <c r="E83" s="319" t="str">
        <f>"Electricity - "&amp;'Scope 2'!$I$15&amp;" ("&amp;D83&amp;")"&amp;Information!$F$10</f>
        <v>Electricity -  (MWh)</v>
      </c>
      <c r="F83" s="319" t="str">
        <f>'Scope 2'!$I$15&amp;" - Distribution and trade of electricity"</f>
        <v xml:space="preserve"> - Distribution and trade of electricity</v>
      </c>
      <c r="G83" s="320"/>
      <c r="H83" s="319">
        <f>IF(B83="YES", 'Scope 2'!I21, 0)</f>
        <v>0</v>
      </c>
      <c r="I83" s="319" t="str">
        <f>'Scope 2'!K21</f>
        <v>EUR</v>
      </c>
      <c r="J83" s="320"/>
      <c r="K83" s="321"/>
      <c r="L83" s="320"/>
      <c r="M83" s="378">
        <v>0</v>
      </c>
      <c r="N83" s="379">
        <v>0</v>
      </c>
      <c r="O83" s="321"/>
      <c r="P83" s="323">
        <f t="shared" si="50"/>
        <v>0</v>
      </c>
      <c r="Q83" s="319">
        <f>IFERROR(VLOOKUP(E83,'Carbon Factors'!$B$2:$K$449,9,FALSE),0)</f>
        <v>0</v>
      </c>
      <c r="R83" s="319">
        <f t="shared" si="51"/>
        <v>0</v>
      </c>
      <c r="S83" s="319">
        <f>IFERROR(VLOOKUP(F83,'Carbon Factors'!$B$2:$K$449,9,FALSE),0)</f>
        <v>0</v>
      </c>
      <c r="T83" s="320"/>
      <c r="U83" s="321"/>
      <c r="V83" s="318">
        <f t="shared" si="52"/>
        <v>0</v>
      </c>
      <c r="W83" s="319">
        <f t="shared" si="53"/>
        <v>0</v>
      </c>
      <c r="X83" s="319">
        <f t="shared" si="54"/>
        <v>0</v>
      </c>
      <c r="Y83" s="319">
        <f t="shared" si="55"/>
        <v>0</v>
      </c>
      <c r="Z83" s="315">
        <f t="shared" si="56"/>
        <v>0</v>
      </c>
    </row>
    <row r="84" spans="1:31" ht="22" customHeight="1" thickBot="1" x14ac:dyDescent="0.4">
      <c r="A84" s="316" t="s">
        <v>268</v>
      </c>
      <c r="B84" s="317" t="str" cm="1">
        <f t="array" ref="B84">IFERROR(_xlfn.IFS('Scope 2'!J17="YES","YES"),"NO")</f>
        <v>NO</v>
      </c>
      <c r="C84" s="318">
        <f>IF(B84="Yes",'Scope 2'!J18,0)</f>
        <v>0</v>
      </c>
      <c r="D84" s="319" t="str">
        <f>'Scope 2'!K18</f>
        <v>MWh</v>
      </c>
      <c r="E84" s="319" t="str">
        <f>"Electricity - "&amp;'Scope 2'!$J$15&amp;" ("&amp;D84&amp;")"&amp;Information!$F$10</f>
        <v>Electricity -  (MWh)</v>
      </c>
      <c r="F84" s="319" t="str">
        <f>'Scope 2'!$J$15&amp;" - Distribution and trade of electricity"</f>
        <v xml:space="preserve"> - Distribution and trade of electricity</v>
      </c>
      <c r="G84" s="320"/>
      <c r="H84" s="319">
        <f>IF(B84="YES", 'Scope 2'!J21, 0)</f>
        <v>0</v>
      </c>
      <c r="I84" s="319" t="str">
        <f>'Scope 2'!K21</f>
        <v>EUR</v>
      </c>
      <c r="J84" s="320"/>
      <c r="K84" s="321"/>
      <c r="L84" s="320"/>
      <c r="M84" s="380">
        <v>0</v>
      </c>
      <c r="N84" s="381">
        <v>0</v>
      </c>
      <c r="O84" s="321"/>
      <c r="P84" s="323">
        <f t="shared" si="50"/>
        <v>0</v>
      </c>
      <c r="Q84" s="319">
        <f>IFERROR(VLOOKUP(E84,'Carbon Factors'!$B$2:$K$449,9,FALSE),0)</f>
        <v>0</v>
      </c>
      <c r="R84" s="319">
        <f t="shared" si="51"/>
        <v>0</v>
      </c>
      <c r="S84" s="319">
        <f>IFERROR(VLOOKUP(F84,'Carbon Factors'!$B$2:$K$449,9,FALSE),0)</f>
        <v>0</v>
      </c>
      <c r="T84" s="320"/>
      <c r="U84" s="321"/>
      <c r="V84" s="318">
        <f t="shared" si="52"/>
        <v>0</v>
      </c>
      <c r="W84" s="319">
        <f t="shared" si="53"/>
        <v>0</v>
      </c>
      <c r="X84" s="319">
        <f t="shared" si="54"/>
        <v>0</v>
      </c>
      <c r="Y84" s="319">
        <f t="shared" si="55"/>
        <v>0</v>
      </c>
      <c r="Z84" s="315">
        <f t="shared" si="56"/>
        <v>0</v>
      </c>
    </row>
    <row r="85" spans="1:31" ht="22" customHeight="1" x14ac:dyDescent="0.35">
      <c r="A85" s="310" t="s">
        <v>269</v>
      </c>
      <c r="B85" s="311"/>
      <c r="C85" s="524"/>
      <c r="D85" s="525"/>
      <c r="E85" s="525"/>
      <c r="F85" s="525"/>
      <c r="G85" s="525"/>
      <c r="H85" s="525"/>
      <c r="I85" s="525"/>
      <c r="J85" s="525"/>
      <c r="K85" s="526"/>
      <c r="L85" s="332"/>
      <c r="M85" s="524"/>
      <c r="N85" s="525"/>
      <c r="O85" s="526"/>
      <c r="P85" s="524"/>
      <c r="Q85" s="525"/>
      <c r="R85" s="525"/>
      <c r="S85" s="525"/>
      <c r="T85" s="525"/>
      <c r="U85" s="526"/>
      <c r="V85" s="518"/>
      <c r="W85" s="519"/>
      <c r="X85" s="519"/>
      <c r="Y85" s="519"/>
      <c r="Z85" s="520"/>
      <c r="AA85" s="553" t="s">
        <v>1401</v>
      </c>
      <c r="AB85" s="301" t="s">
        <v>988</v>
      </c>
      <c r="AC85" s="301" t="s">
        <v>989</v>
      </c>
      <c r="AD85" s="301" t="s">
        <v>1384</v>
      </c>
      <c r="AE85" s="302" t="s">
        <v>1168</v>
      </c>
    </row>
    <row r="86" spans="1:31" ht="22" customHeight="1" x14ac:dyDescent="0.35">
      <c r="A86" s="316" t="s">
        <v>796</v>
      </c>
      <c r="B86" s="317" t="str" cm="1">
        <f t="array" ref="B86">IFERROR(_xlfn.IFS('Scope 2'!C33="Yes","YES",'Scope 2'!C33="Jah","YES", 'Scope 2'!C33="Taip","YES",'Scope 2'!C33="Jā","YES"),"NO")</f>
        <v>NO</v>
      </c>
      <c r="C86" s="318">
        <f>IF(B86="Yes",'Scope 2'!D33,0)</f>
        <v>0</v>
      </c>
      <c r="D86" s="319" t="str">
        <f>'Scope 2'!E33</f>
        <v>MWh</v>
      </c>
      <c r="E86" s="319" t="str">
        <f>Information!$F$12&amp;" "&amp;D86&amp;" "&amp;Information!$F$10&amp;" "&amp;A86</f>
        <v xml:space="preserve"> MWh  District Heating</v>
      </c>
      <c r="F86" s="319" t="str">
        <f>Information!$F$12&amp;" "&amp;"kWh"&amp;" "&amp;Information!$F$10&amp;" "&amp;A86</f>
        <v xml:space="preserve"> kWh  District Heating</v>
      </c>
      <c r="G86" s="320"/>
      <c r="H86" s="319">
        <f>IF('Scope 2'!C33="Yes",'Scope 2'!H33,0)</f>
        <v>0</v>
      </c>
      <c r="I86" s="319" t="str">
        <f>'Scope 2'!I33</f>
        <v>m2</v>
      </c>
      <c r="J86" s="320"/>
      <c r="K86" s="321"/>
      <c r="L86" s="322">
        <f>Factors_CIBSE!$B$9</f>
        <v>101.71428571428571</v>
      </c>
      <c r="M86" s="318">
        <f>IFERROR(VLOOKUP(E86,'Carbon Factors'!$B$2:$H$449,5,FALSE),0)</f>
        <v>0</v>
      </c>
      <c r="N86" s="319">
        <f>IFERROR(VLOOKUP(F86,'Carbon Factors'!$B$2:$H$449,5,FALSE),0)</f>
        <v>0</v>
      </c>
      <c r="O86" s="321"/>
      <c r="P86" s="323">
        <f>C86*M86</f>
        <v>0</v>
      </c>
      <c r="Q86" s="324">
        <f>IFERROR(VLOOKUP(E86,'Carbon Factors'!$B$2:$K$449,9,FALSE),0)</f>
        <v>0</v>
      </c>
      <c r="R86" s="319">
        <f>H86*L86*N86</f>
        <v>0</v>
      </c>
      <c r="S86" s="324">
        <f>IFERROR(VLOOKUP(F86,'Carbon Factors'!$B$2:$K$449,9,FALSE),0)</f>
        <v>0</v>
      </c>
      <c r="T86" s="320"/>
      <c r="U86" s="321"/>
      <c r="V86" s="318">
        <f>P86+R86</f>
        <v>0</v>
      </c>
      <c r="W86" s="319">
        <f>Q86</f>
        <v>0</v>
      </c>
      <c r="X86" s="319">
        <f>P86</f>
        <v>0</v>
      </c>
      <c r="Y86" s="319">
        <f>R86</f>
        <v>0</v>
      </c>
      <c r="Z86" s="315">
        <f>IFERROR(P86/V86,0)</f>
        <v>0</v>
      </c>
      <c r="AA86" s="553"/>
      <c r="AB86" s="314">
        <f>SUM(X86:X88)</f>
        <v>0</v>
      </c>
      <c r="AC86" s="314">
        <f>SUM(Y86:Y88)</f>
        <v>0</v>
      </c>
      <c r="AD86" s="314">
        <f>SUM(V86:V88)</f>
        <v>0</v>
      </c>
      <c r="AE86" s="315">
        <f>IFERROR(AB86/AD86,0)</f>
        <v>0</v>
      </c>
    </row>
    <row r="87" spans="1:31" ht="22" customHeight="1" x14ac:dyDescent="0.35">
      <c r="A87" s="316" t="s">
        <v>797</v>
      </c>
      <c r="B87" s="317" t="str" cm="1">
        <f t="array" ref="B87">IFERROR(_xlfn.IFS('Scope 2'!C34="Yes","YES",'Scope 2'!C34="Jah","YES", 'Scope 2'!C34="Taip","YES",'Scope 2'!C34="Jā","YES"),"NO")</f>
        <v>NO</v>
      </c>
      <c r="C87" s="318">
        <f>IF(B87="Yes",'Scope 2'!D34,0)</f>
        <v>0</v>
      </c>
      <c r="D87" s="319" t="str">
        <f>'Scope 2'!E34</f>
        <v>MWh</v>
      </c>
      <c r="E87" s="319" t="str">
        <f>Information!$F$12&amp;" "&amp;D87&amp;" "&amp;Information!$F$10&amp;" "&amp;A87</f>
        <v xml:space="preserve"> MWh  District Cooling</v>
      </c>
      <c r="F87" s="319" t="str">
        <f>Information!$F$12&amp;" "&amp;"kWh"&amp;" "&amp;Information!$F$10&amp;" "&amp;A87</f>
        <v xml:space="preserve"> kWh  District Cooling</v>
      </c>
      <c r="G87" s="320"/>
      <c r="H87" s="362">
        <v>0</v>
      </c>
      <c r="I87" s="319">
        <f>'Scope 2'!I34</f>
        <v>0</v>
      </c>
      <c r="J87" s="320"/>
      <c r="K87" s="321"/>
      <c r="L87" s="322">
        <f>Factors_CIBSE!$B$9</f>
        <v>101.71428571428571</v>
      </c>
      <c r="M87" s="318">
        <f>IFERROR(VLOOKUP(E87,'Carbon Factors'!$B$2:$H$449,5,FALSE),0)</f>
        <v>0</v>
      </c>
      <c r="N87" s="319">
        <f>IFERROR(VLOOKUP(F87,'Carbon Factors'!$B$2:$H$449,5,FALSE),0)</f>
        <v>0</v>
      </c>
      <c r="O87" s="321"/>
      <c r="P87" s="323">
        <f t="shared" ref="P87" si="57">C87*M87</f>
        <v>0</v>
      </c>
      <c r="Q87" s="324">
        <f>IFERROR(VLOOKUP(E87,'Carbon Factors'!$B$2:$K$449,9,FALSE),0)</f>
        <v>0</v>
      </c>
      <c r="R87" s="319">
        <f t="shared" ref="R87" si="58">H87*L87*N87</f>
        <v>0</v>
      </c>
      <c r="S87" s="324">
        <f>IFERROR(VLOOKUP(F87,'Carbon Factors'!$B$2:$K$449,9,FALSE),0)</f>
        <v>0</v>
      </c>
      <c r="T87" s="320"/>
      <c r="U87" s="321"/>
      <c r="V87" s="318">
        <f t="shared" ref="V87:V88" si="59">P87+R87</f>
        <v>0</v>
      </c>
      <c r="W87" s="319">
        <f t="shared" ref="W87:W88" si="60">Q87</f>
        <v>0</v>
      </c>
      <c r="X87" s="319">
        <f>P87</f>
        <v>0</v>
      </c>
      <c r="Y87" s="319">
        <f t="shared" ref="Y87:Y88" si="61">R87</f>
        <v>0</v>
      </c>
      <c r="Z87" s="315">
        <f t="shared" ref="Z87:Z88" si="62">IFERROR(P87/V87,0)</f>
        <v>0</v>
      </c>
    </row>
    <row r="88" spans="1:31" ht="22" customHeight="1" thickBot="1" x14ac:dyDescent="0.4">
      <c r="A88" s="316" t="s">
        <v>218</v>
      </c>
      <c r="B88" s="317" t="str" cm="1">
        <f t="array" ref="B88">IFERROR(_xlfn.IFS('Scope 2'!C35="Yes","YES",'Scope 2'!C35="Jah","YES", 'Scope 2'!C35="Taip","YES",'Scope 2'!C35="Jā","YES"),"NO")</f>
        <v>NO</v>
      </c>
      <c r="C88" s="318">
        <f>IF(B88="Yes",'Scope 2'!D35,0)</f>
        <v>0</v>
      </c>
      <c r="D88" s="319" t="str">
        <f>'Scope 2'!E35</f>
        <v>MWh</v>
      </c>
      <c r="E88" s="319" t="str">
        <f>Information!$F$12&amp;" "&amp;D88&amp;" "&amp;Information!$F$10&amp;" "&amp;A88</f>
        <v xml:space="preserve"> MWh  Steam</v>
      </c>
      <c r="F88" s="319" t="str">
        <f>Information!$F$12&amp;" "&amp;"kWh"&amp;" "&amp;Information!$F$10&amp;" "&amp;A88</f>
        <v xml:space="preserve"> kWh  Steam</v>
      </c>
      <c r="G88" s="320"/>
      <c r="H88" s="362">
        <v>0</v>
      </c>
      <c r="I88" s="319">
        <f>'Scope 2'!I35</f>
        <v>0</v>
      </c>
      <c r="J88" s="320"/>
      <c r="K88" s="321"/>
      <c r="L88" s="322">
        <f>Factors_CIBSE!$B$9</f>
        <v>101.71428571428571</v>
      </c>
      <c r="M88" s="318">
        <f>IFERROR(VLOOKUP(E88,'Carbon Factors'!$B$2:$H$449,5,FALSE),0)</f>
        <v>0</v>
      </c>
      <c r="N88" s="319">
        <f>IFERROR(VLOOKUP(F88,'Carbon Factors'!$B$2:$H$449,5,FALSE),0)</f>
        <v>0</v>
      </c>
      <c r="O88" s="321"/>
      <c r="P88" s="323">
        <f>C88*M88</f>
        <v>0</v>
      </c>
      <c r="Q88" s="324">
        <f>IFERROR(VLOOKUP(E88,'Carbon Factors'!$B$2:$K$449,9,FALSE),0)</f>
        <v>0</v>
      </c>
      <c r="R88" s="319">
        <f>H88*L88*N88</f>
        <v>0</v>
      </c>
      <c r="S88" s="324">
        <f>IFERROR(VLOOKUP(F88,'Carbon Factors'!$B$2:$K$449,9,FALSE),0)</f>
        <v>0</v>
      </c>
      <c r="T88" s="320"/>
      <c r="U88" s="321"/>
      <c r="V88" s="318">
        <f t="shared" si="59"/>
        <v>0</v>
      </c>
      <c r="W88" s="319">
        <f t="shared" si="60"/>
        <v>0</v>
      </c>
      <c r="X88" s="319">
        <f t="shared" ref="X88" si="63">P88</f>
        <v>0</v>
      </c>
      <c r="Y88" s="319">
        <f t="shared" si="61"/>
        <v>0</v>
      </c>
      <c r="Z88" s="315">
        <f t="shared" si="62"/>
        <v>0</v>
      </c>
    </row>
    <row r="89" spans="1:31" ht="22" customHeight="1" thickTop="1" x14ac:dyDescent="0.35">
      <c r="A89" s="554" t="s">
        <v>1402</v>
      </c>
      <c r="B89" s="555"/>
      <c r="C89" s="555"/>
      <c r="D89" s="555"/>
      <c r="E89" s="555"/>
      <c r="F89" s="555"/>
      <c r="G89" s="555"/>
      <c r="H89" s="555"/>
      <c r="I89" s="555"/>
      <c r="J89" s="555"/>
      <c r="K89" s="555"/>
      <c r="L89" s="555"/>
      <c r="M89" s="555"/>
      <c r="N89" s="555"/>
      <c r="O89" s="555"/>
      <c r="P89" s="555"/>
      <c r="Q89" s="555"/>
      <c r="R89" s="555"/>
      <c r="S89" s="555"/>
      <c r="T89" s="555"/>
      <c r="U89" s="555"/>
      <c r="V89" s="555"/>
      <c r="W89" s="555"/>
      <c r="X89" s="555"/>
      <c r="Y89" s="555"/>
      <c r="Z89" s="555"/>
      <c r="AA89" s="556"/>
      <c r="AB89" s="345" t="s">
        <v>988</v>
      </c>
      <c r="AC89" s="345" t="s">
        <v>989</v>
      </c>
      <c r="AD89" s="345" t="s">
        <v>1384</v>
      </c>
      <c r="AE89" s="346" t="s">
        <v>1168</v>
      </c>
    </row>
    <row r="90" spans="1:31" s="290" customFormat="1" ht="22" customHeight="1" thickBot="1" x14ac:dyDescent="0.4">
      <c r="A90" s="557"/>
      <c r="B90" s="558"/>
      <c r="C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9"/>
      <c r="AB90" s="347">
        <f>AB77+AB3</f>
        <v>0</v>
      </c>
      <c r="AC90" s="347">
        <f t="shared" ref="AC90:AD90" si="64">AC77+AC3</f>
        <v>0</v>
      </c>
      <c r="AD90" s="347">
        <f t="shared" si="64"/>
        <v>0</v>
      </c>
      <c r="AE90" s="348">
        <f>IFERROR(AB90/AD90,0)</f>
        <v>0</v>
      </c>
    </row>
    <row r="91" spans="1:31" s="290" customFormat="1" ht="15" thickTop="1" x14ac:dyDescent="0.35">
      <c r="C91" s="349"/>
      <c r="D91" s="349"/>
      <c r="E91" s="349"/>
      <c r="F91" s="349"/>
      <c r="G91" s="349"/>
      <c r="H91" s="349"/>
      <c r="I91" s="349"/>
      <c r="J91" s="349"/>
      <c r="K91" s="349"/>
      <c r="L91" s="349"/>
      <c r="M91" s="349"/>
      <c r="N91" s="349"/>
      <c r="O91" s="349"/>
      <c r="P91" s="349"/>
      <c r="Q91" s="349"/>
      <c r="R91" s="349"/>
      <c r="S91" s="349"/>
      <c r="T91" s="349"/>
      <c r="U91" s="349"/>
      <c r="V91" s="349"/>
      <c r="W91" s="349"/>
      <c r="X91" s="349"/>
      <c r="Y91" s="349"/>
      <c r="AA91" s="288"/>
      <c r="AB91" s="289"/>
      <c r="AC91" s="289"/>
      <c r="AD91" s="289"/>
    </row>
  </sheetData>
  <mergeCells count="55">
    <mergeCell ref="A1:B1"/>
    <mergeCell ref="AA49:AA50"/>
    <mergeCell ref="AA85:AA86"/>
    <mergeCell ref="A89:AA90"/>
    <mergeCell ref="C1:K1"/>
    <mergeCell ref="AA11:AA12"/>
    <mergeCell ref="AA16:AA17"/>
    <mergeCell ref="AA36:AA37"/>
    <mergeCell ref="AA47:AA48"/>
    <mergeCell ref="C4:K4"/>
    <mergeCell ref="C3:K3"/>
    <mergeCell ref="M3:O3"/>
    <mergeCell ref="M4:O4"/>
    <mergeCell ref="P3:U3"/>
    <mergeCell ref="P4:U4"/>
    <mergeCell ref="P47:U47"/>
    <mergeCell ref="P1:U1"/>
    <mergeCell ref="V1:Z1"/>
    <mergeCell ref="L1:L2"/>
    <mergeCell ref="M1:O1"/>
    <mergeCell ref="V3:Z3"/>
    <mergeCell ref="V4:Z4"/>
    <mergeCell ref="C16:K16"/>
    <mergeCell ref="M16:O16"/>
    <mergeCell ref="V36:Z36"/>
    <mergeCell ref="V47:Z47"/>
    <mergeCell ref="P16:U16"/>
    <mergeCell ref="V16:Z16"/>
    <mergeCell ref="C36:K36"/>
    <mergeCell ref="C47:K47"/>
    <mergeCell ref="M36:O36"/>
    <mergeCell ref="M47:O47"/>
    <mergeCell ref="P36:U36"/>
    <mergeCell ref="AG10:AI10"/>
    <mergeCell ref="C11:K11"/>
    <mergeCell ref="M11:O11"/>
    <mergeCell ref="P11:U11"/>
    <mergeCell ref="V11:Z11"/>
    <mergeCell ref="C85:K85"/>
    <mergeCell ref="C77:K77"/>
    <mergeCell ref="C78:K78"/>
    <mergeCell ref="M77:O77"/>
    <mergeCell ref="M78:O78"/>
    <mergeCell ref="V85:Z85"/>
    <mergeCell ref="P85:U85"/>
    <mergeCell ref="M85:O85"/>
    <mergeCell ref="P77:U77"/>
    <mergeCell ref="P78:U78"/>
    <mergeCell ref="V77:Z77"/>
    <mergeCell ref="V78:Z78"/>
    <mergeCell ref="V49:Z49"/>
    <mergeCell ref="P49:U49"/>
    <mergeCell ref="M49:O49"/>
    <mergeCell ref="H49:K49"/>
    <mergeCell ref="C49:E49"/>
  </mergeCells>
  <phoneticPr fontId="14" type="noConversion"/>
  <conditionalFormatting sqref="A74:A76">
    <cfRule type="expression" dxfId="1" priority="1">
      <formula>$J$102="NO"</formula>
    </cfRule>
  </conditionalFormatting>
  <conditionalFormatting sqref="A50:B50 A51:A73 B51:B76">
    <cfRule type="expression" dxfId="0" priority="29">
      <formula>$J$112="NO"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4699-7F9E-4497-8387-81D82C2396BE}">
  <dimension ref="A1:L449"/>
  <sheetViews>
    <sheetView topLeftCell="A46" workbookViewId="0">
      <selection activeCell="H236" sqref="H236"/>
    </sheetView>
  </sheetViews>
  <sheetFormatPr defaultRowHeight="14.5" x14ac:dyDescent="0.35"/>
  <cols>
    <col min="1" max="1" width="19.36328125" style="33" bestFit="1" customWidth="1"/>
    <col min="2" max="2" width="49.54296875" style="33" bestFit="1" customWidth="1"/>
    <col min="3" max="3" width="47.81640625" style="33" bestFit="1" customWidth="1"/>
    <col min="4" max="4" width="48.54296875" style="33" bestFit="1" customWidth="1"/>
    <col min="5" max="5" width="46.81640625" style="33" bestFit="1" customWidth="1"/>
    <col min="6" max="11" width="15.54296875" style="33" customWidth="1"/>
    <col min="12" max="12" width="101.54296875" style="33" bestFit="1" customWidth="1"/>
  </cols>
  <sheetData>
    <row r="1" spans="1:12" s="140" customFormat="1" x14ac:dyDescent="0.35">
      <c r="A1" s="139" t="s">
        <v>608</v>
      </c>
      <c r="B1" s="139" t="s">
        <v>609</v>
      </c>
      <c r="C1" s="139" t="s">
        <v>610</v>
      </c>
      <c r="D1" s="139" t="s">
        <v>611</v>
      </c>
      <c r="E1" s="139" t="s">
        <v>612</v>
      </c>
      <c r="F1" s="139" t="s">
        <v>613</v>
      </c>
      <c r="G1" s="139" t="s">
        <v>271</v>
      </c>
      <c r="H1" s="139" t="s">
        <v>272</v>
      </c>
      <c r="I1" s="139" t="s">
        <v>273</v>
      </c>
      <c r="J1" s="139" t="s">
        <v>274</v>
      </c>
      <c r="K1" s="139" t="s">
        <v>250</v>
      </c>
      <c r="L1" s="139" t="s">
        <v>275</v>
      </c>
    </row>
    <row r="2" spans="1:12" x14ac:dyDescent="0.35">
      <c r="A2" s="8" t="s">
        <v>324</v>
      </c>
      <c r="B2" s="8" t="s">
        <v>550</v>
      </c>
      <c r="C2" s="8" t="s">
        <v>887</v>
      </c>
      <c r="D2" s="8" t="s">
        <v>887</v>
      </c>
      <c r="E2" s="8" t="s">
        <v>888</v>
      </c>
      <c r="F2" s="141">
        <v>2.65E-3</v>
      </c>
      <c r="G2" s="141"/>
      <c r="H2" s="141">
        <v>1.0000000000000001E-5</v>
      </c>
      <c r="I2" s="8" t="s">
        <v>320</v>
      </c>
      <c r="J2" s="8" t="s">
        <v>264</v>
      </c>
      <c r="K2" s="8">
        <v>2022</v>
      </c>
      <c r="L2" s="8" t="s">
        <v>596</v>
      </c>
    </row>
    <row r="3" spans="1:12" x14ac:dyDescent="0.35">
      <c r="A3" s="8" t="s">
        <v>324</v>
      </c>
      <c r="B3" s="8" t="s">
        <v>551</v>
      </c>
      <c r="C3" s="8" t="s">
        <v>889</v>
      </c>
      <c r="D3" s="8" t="s">
        <v>889</v>
      </c>
      <c r="E3" s="8" t="s">
        <v>890</v>
      </c>
      <c r="F3" s="141">
        <v>2.65E-3</v>
      </c>
      <c r="G3" s="141"/>
      <c r="H3" s="141">
        <v>1.0000000000000001E-5</v>
      </c>
      <c r="I3" s="8" t="s">
        <v>320</v>
      </c>
      <c r="J3" s="8" t="s">
        <v>264</v>
      </c>
      <c r="K3" s="8">
        <v>2022</v>
      </c>
      <c r="L3" s="8" t="s">
        <v>596</v>
      </c>
    </row>
    <row r="4" spans="1:12" x14ac:dyDescent="0.35">
      <c r="A4" s="8" t="s">
        <v>324</v>
      </c>
      <c r="B4" s="8" t="s">
        <v>552</v>
      </c>
      <c r="C4" s="8" t="s">
        <v>891</v>
      </c>
      <c r="D4" s="8" t="s">
        <v>891</v>
      </c>
      <c r="E4" s="8" t="s">
        <v>892</v>
      </c>
      <c r="F4" s="141">
        <v>5.3E-3</v>
      </c>
      <c r="G4" s="141"/>
      <c r="H4" s="141">
        <v>2.0000000000000002E-5</v>
      </c>
      <c r="I4" s="8" t="s">
        <v>320</v>
      </c>
      <c r="J4" s="8" t="s">
        <v>264</v>
      </c>
      <c r="K4" s="8">
        <v>2022</v>
      </c>
      <c r="L4" s="8" t="s">
        <v>596</v>
      </c>
    </row>
    <row r="5" spans="1:12" x14ac:dyDescent="0.35">
      <c r="A5" s="8" t="s">
        <v>324</v>
      </c>
      <c r="B5" s="8" t="s">
        <v>507</v>
      </c>
      <c r="C5" s="8" t="s">
        <v>925</v>
      </c>
      <c r="D5" s="8" t="s">
        <v>926</v>
      </c>
      <c r="E5" s="8" t="s">
        <v>927</v>
      </c>
      <c r="F5" s="141">
        <v>3.4069677419354835E-2</v>
      </c>
      <c r="G5" s="141">
        <v>1.2167741935483871E-3</v>
      </c>
      <c r="H5" s="141"/>
      <c r="I5" s="8" t="s">
        <v>319</v>
      </c>
      <c r="J5" s="8" t="s">
        <v>264</v>
      </c>
      <c r="K5" s="8">
        <v>2022</v>
      </c>
      <c r="L5" s="8" t="s">
        <v>595</v>
      </c>
    </row>
    <row r="6" spans="1:12" x14ac:dyDescent="0.35">
      <c r="A6" s="8" t="s">
        <v>324</v>
      </c>
      <c r="B6" s="8" t="s">
        <v>508</v>
      </c>
      <c r="C6" s="8" t="s">
        <v>928</v>
      </c>
      <c r="D6" s="8" t="s">
        <v>929</v>
      </c>
      <c r="E6" s="8" t="s">
        <v>930</v>
      </c>
      <c r="F6" s="141">
        <v>2.0467096774193547E-2</v>
      </c>
      <c r="G6" s="141">
        <v>7.3096774193548387E-4</v>
      </c>
      <c r="H6" s="141"/>
      <c r="I6" s="8" t="s">
        <v>319</v>
      </c>
      <c r="J6" s="8" t="s">
        <v>264</v>
      </c>
      <c r="K6" s="8">
        <v>2022</v>
      </c>
      <c r="L6" s="8" t="s">
        <v>595</v>
      </c>
    </row>
    <row r="7" spans="1:12" x14ac:dyDescent="0.35">
      <c r="A7" s="8" t="s">
        <v>324</v>
      </c>
      <c r="B7" s="8" t="s">
        <v>509</v>
      </c>
      <c r="C7" s="8" t="s">
        <v>931</v>
      </c>
      <c r="D7" s="8" t="s">
        <v>932</v>
      </c>
      <c r="E7" s="8" t="s">
        <v>933</v>
      </c>
      <c r="F7" s="141">
        <v>2.8451612903225803E-3</v>
      </c>
      <c r="G7" s="141">
        <v>1.0161290322580645E-4</v>
      </c>
      <c r="H7" s="141"/>
      <c r="I7" s="8" t="s">
        <v>319</v>
      </c>
      <c r="J7" s="8" t="s">
        <v>264</v>
      </c>
      <c r="K7" s="8">
        <v>2022</v>
      </c>
      <c r="L7" s="8" t="s">
        <v>595</v>
      </c>
    </row>
    <row r="8" spans="1:12" x14ac:dyDescent="0.35">
      <c r="A8" s="8" t="s">
        <v>324</v>
      </c>
      <c r="B8" s="8" t="s">
        <v>510</v>
      </c>
      <c r="C8" s="8" t="s">
        <v>934</v>
      </c>
      <c r="D8" s="8" t="s">
        <v>935</v>
      </c>
      <c r="E8" s="8" t="s">
        <v>936</v>
      </c>
      <c r="F8" s="141">
        <v>0</v>
      </c>
      <c r="G8" s="141">
        <v>0</v>
      </c>
      <c r="H8" s="141"/>
      <c r="I8" s="8" t="s">
        <v>319</v>
      </c>
      <c r="J8" s="8" t="s">
        <v>264</v>
      </c>
      <c r="K8" s="8">
        <v>2022</v>
      </c>
      <c r="L8" s="8" t="s">
        <v>595</v>
      </c>
    </row>
    <row r="9" spans="1:12" x14ac:dyDescent="0.35">
      <c r="A9" s="8" t="s">
        <v>324</v>
      </c>
      <c r="B9" s="8" t="s">
        <v>511</v>
      </c>
      <c r="C9" s="8" t="s">
        <v>937</v>
      </c>
      <c r="D9" s="8" t="s">
        <v>938</v>
      </c>
      <c r="E9" s="8" t="s">
        <v>939</v>
      </c>
      <c r="F9" s="141">
        <v>3.7935483870967747E-3</v>
      </c>
      <c r="G9" s="141">
        <v>1.3548387096774196E-4</v>
      </c>
      <c r="H9" s="141"/>
      <c r="I9" s="8" t="s">
        <v>319</v>
      </c>
      <c r="J9" s="8" t="s">
        <v>264</v>
      </c>
      <c r="K9" s="8">
        <v>2022</v>
      </c>
      <c r="L9" s="8" t="s">
        <v>595</v>
      </c>
    </row>
    <row r="10" spans="1:12" x14ac:dyDescent="0.35">
      <c r="A10" s="8" t="s">
        <v>324</v>
      </c>
      <c r="B10" s="8" t="s">
        <v>512</v>
      </c>
      <c r="C10" s="8" t="s">
        <v>940</v>
      </c>
      <c r="D10" s="8" t="s">
        <v>941</v>
      </c>
      <c r="E10" s="8" t="s">
        <v>942</v>
      </c>
      <c r="F10" s="141">
        <v>5.5548387096774187E-3</v>
      </c>
      <c r="G10" s="141">
        <v>1.9838709677419354E-4</v>
      </c>
      <c r="H10" s="141"/>
      <c r="I10" s="8" t="s">
        <v>319</v>
      </c>
      <c r="J10" s="8" t="s">
        <v>264</v>
      </c>
      <c r="K10" s="8">
        <v>2022</v>
      </c>
      <c r="L10" s="8" t="s">
        <v>595</v>
      </c>
    </row>
    <row r="11" spans="1:12" x14ac:dyDescent="0.35">
      <c r="A11" s="8" t="s">
        <v>324</v>
      </c>
      <c r="B11" s="8" t="s">
        <v>513</v>
      </c>
      <c r="C11" s="8" t="s">
        <v>943</v>
      </c>
      <c r="D11" s="8" t="s">
        <v>944</v>
      </c>
      <c r="E11" s="8" t="s">
        <v>945</v>
      </c>
      <c r="F11" s="141">
        <v>2.6274838709677419E-2</v>
      </c>
      <c r="G11" s="141">
        <v>9.3838709677419353E-4</v>
      </c>
      <c r="H11" s="141"/>
      <c r="I11" s="8" t="s">
        <v>319</v>
      </c>
      <c r="J11" s="8" t="s">
        <v>264</v>
      </c>
      <c r="K11" s="8">
        <v>2022</v>
      </c>
      <c r="L11" s="8" t="s">
        <v>595</v>
      </c>
    </row>
    <row r="12" spans="1:12" x14ac:dyDescent="0.35">
      <c r="A12" s="8" t="s">
        <v>324</v>
      </c>
      <c r="B12" s="8" t="s">
        <v>514</v>
      </c>
      <c r="C12" s="8" t="s">
        <v>946</v>
      </c>
      <c r="D12" s="8" t="s">
        <v>947</v>
      </c>
      <c r="E12" s="8" t="s">
        <v>948</v>
      </c>
      <c r="F12" s="141">
        <v>1.3909677419354839E-4</v>
      </c>
      <c r="G12" s="141">
        <v>4.967741935483871E-6</v>
      </c>
      <c r="H12" s="141"/>
      <c r="I12" s="8" t="s">
        <v>319</v>
      </c>
      <c r="J12" s="8" t="s">
        <v>264</v>
      </c>
      <c r="K12" s="8">
        <v>2022</v>
      </c>
      <c r="L12" s="8" t="s">
        <v>595</v>
      </c>
    </row>
    <row r="13" spans="1:12" x14ac:dyDescent="0.35">
      <c r="A13" s="8" t="s">
        <v>324</v>
      </c>
      <c r="B13" s="8" t="s">
        <v>586</v>
      </c>
      <c r="C13" s="8" t="s">
        <v>949</v>
      </c>
      <c r="D13" s="8" t="s">
        <v>949</v>
      </c>
      <c r="E13" s="8" t="s">
        <v>950</v>
      </c>
      <c r="F13" s="141">
        <v>3.4069677419354835E-2</v>
      </c>
      <c r="G13" s="141">
        <v>1.2167741935483871E-3</v>
      </c>
      <c r="H13" s="141"/>
      <c r="I13" s="8" t="s">
        <v>319</v>
      </c>
      <c r="J13" s="8" t="s">
        <v>264</v>
      </c>
      <c r="K13" s="8">
        <v>2022</v>
      </c>
      <c r="L13" s="8" t="s">
        <v>595</v>
      </c>
    </row>
    <row r="14" spans="1:12" x14ac:dyDescent="0.35">
      <c r="A14" s="8" t="s">
        <v>324</v>
      </c>
      <c r="B14" s="8" t="s">
        <v>579</v>
      </c>
      <c r="C14" s="8" t="s">
        <v>951</v>
      </c>
      <c r="D14" s="8" t="s">
        <v>951</v>
      </c>
      <c r="E14" s="8" t="s">
        <v>952</v>
      </c>
      <c r="F14" s="141">
        <v>2.0467096774193547E-2</v>
      </c>
      <c r="G14" s="141">
        <v>7.3096774193548387E-4</v>
      </c>
      <c r="H14" s="141"/>
      <c r="I14" s="8" t="s">
        <v>319</v>
      </c>
      <c r="J14" s="8" t="s">
        <v>264</v>
      </c>
      <c r="K14" s="8">
        <v>2022</v>
      </c>
      <c r="L14" s="8" t="s">
        <v>595</v>
      </c>
    </row>
    <row r="15" spans="1:12" x14ac:dyDescent="0.35">
      <c r="A15" s="8" t="s">
        <v>324</v>
      </c>
      <c r="B15" s="8" t="s">
        <v>580</v>
      </c>
      <c r="C15" s="8" t="s">
        <v>953</v>
      </c>
      <c r="D15" s="8" t="s">
        <v>953</v>
      </c>
      <c r="E15" s="8" t="s">
        <v>954</v>
      </c>
      <c r="F15" s="141">
        <v>2.8451612903225803E-3</v>
      </c>
      <c r="G15" s="141">
        <v>1.0161290322580645E-4</v>
      </c>
      <c r="H15" s="141"/>
      <c r="I15" s="8" t="s">
        <v>319</v>
      </c>
      <c r="J15" s="8" t="s">
        <v>264</v>
      </c>
      <c r="K15" s="8">
        <v>2022</v>
      </c>
      <c r="L15" s="8" t="s">
        <v>595</v>
      </c>
    </row>
    <row r="16" spans="1:12" x14ac:dyDescent="0.35">
      <c r="A16" s="8" t="s">
        <v>324</v>
      </c>
      <c r="B16" s="8" t="s">
        <v>581</v>
      </c>
      <c r="C16" s="8" t="s">
        <v>955</v>
      </c>
      <c r="D16" s="8" t="s">
        <v>955</v>
      </c>
      <c r="E16" s="8" t="s">
        <v>956</v>
      </c>
      <c r="F16" s="141">
        <v>0</v>
      </c>
      <c r="G16" s="141">
        <v>0</v>
      </c>
      <c r="H16" s="141"/>
      <c r="I16" s="8" t="s">
        <v>319</v>
      </c>
      <c r="J16" s="8" t="s">
        <v>264</v>
      </c>
      <c r="K16" s="8">
        <v>2022</v>
      </c>
      <c r="L16" s="8" t="s">
        <v>595</v>
      </c>
    </row>
    <row r="17" spans="1:12" x14ac:dyDescent="0.35">
      <c r="A17" s="8" t="s">
        <v>324</v>
      </c>
      <c r="B17" s="8" t="s">
        <v>582</v>
      </c>
      <c r="C17" s="8" t="s">
        <v>957</v>
      </c>
      <c r="D17" s="8" t="s">
        <v>957</v>
      </c>
      <c r="E17" s="8" t="s">
        <v>958</v>
      </c>
      <c r="F17" s="141">
        <v>3.7935483870967747E-3</v>
      </c>
      <c r="G17" s="141">
        <v>1.3548387096774196E-4</v>
      </c>
      <c r="H17" s="141"/>
      <c r="I17" s="8" t="s">
        <v>319</v>
      </c>
      <c r="J17" s="8" t="s">
        <v>264</v>
      </c>
      <c r="K17" s="8">
        <v>2022</v>
      </c>
      <c r="L17" s="8" t="s">
        <v>595</v>
      </c>
    </row>
    <row r="18" spans="1:12" x14ac:dyDescent="0.35">
      <c r="A18" s="8" t="s">
        <v>324</v>
      </c>
      <c r="B18" s="8" t="s">
        <v>583</v>
      </c>
      <c r="C18" s="8" t="s">
        <v>959</v>
      </c>
      <c r="D18" s="8" t="s">
        <v>959</v>
      </c>
      <c r="E18" s="8" t="s">
        <v>960</v>
      </c>
      <c r="F18" s="141">
        <v>5.5548387096774187E-3</v>
      </c>
      <c r="G18" s="141">
        <v>1.9838709677419354E-4</v>
      </c>
      <c r="H18" s="141"/>
      <c r="I18" s="8" t="s">
        <v>319</v>
      </c>
      <c r="J18" s="8" t="s">
        <v>264</v>
      </c>
      <c r="K18" s="8">
        <v>2022</v>
      </c>
      <c r="L18" s="8" t="s">
        <v>595</v>
      </c>
    </row>
    <row r="19" spans="1:12" x14ac:dyDescent="0.35">
      <c r="A19" s="8" t="s">
        <v>324</v>
      </c>
      <c r="B19" s="8" t="s">
        <v>584</v>
      </c>
      <c r="C19" s="8" t="s">
        <v>961</v>
      </c>
      <c r="D19" s="8" t="s">
        <v>961</v>
      </c>
      <c r="E19" s="8" t="s">
        <v>962</v>
      </c>
      <c r="F19" s="141">
        <v>2.6274838709677419E-2</v>
      </c>
      <c r="G19" s="141">
        <v>9.3838709677419353E-4</v>
      </c>
      <c r="H19" s="141"/>
      <c r="I19" s="8" t="s">
        <v>319</v>
      </c>
      <c r="J19" s="8" t="s">
        <v>264</v>
      </c>
      <c r="K19" s="8">
        <v>2022</v>
      </c>
      <c r="L19" s="8" t="s">
        <v>595</v>
      </c>
    </row>
    <row r="20" spans="1:12" x14ac:dyDescent="0.35">
      <c r="A20" s="8" t="s">
        <v>324</v>
      </c>
      <c r="B20" s="8" t="s">
        <v>585</v>
      </c>
      <c r="C20" s="8" t="s">
        <v>963</v>
      </c>
      <c r="D20" s="8" t="s">
        <v>963</v>
      </c>
      <c r="E20" s="8" t="s">
        <v>964</v>
      </c>
      <c r="F20" s="141">
        <v>1.3909677419354839E-4</v>
      </c>
      <c r="G20" s="141">
        <v>4.967741935483871E-6</v>
      </c>
      <c r="H20" s="141"/>
      <c r="I20" s="8" t="s">
        <v>319</v>
      </c>
      <c r="J20" s="8" t="s">
        <v>264</v>
      </c>
      <c r="K20" s="8">
        <v>2022</v>
      </c>
      <c r="L20" s="8" t="s">
        <v>595</v>
      </c>
    </row>
    <row r="21" spans="1:12" x14ac:dyDescent="0.35">
      <c r="A21" s="8" t="s">
        <v>324</v>
      </c>
      <c r="B21" s="8" t="s">
        <v>594</v>
      </c>
      <c r="C21" s="8" t="s">
        <v>965</v>
      </c>
      <c r="D21" s="8" t="s">
        <v>965</v>
      </c>
      <c r="E21" s="8" t="s">
        <v>966</v>
      </c>
      <c r="F21" s="141">
        <v>3.4069677419354835E-2</v>
      </c>
      <c r="G21" s="141">
        <v>1.2167741935483871E-3</v>
      </c>
      <c r="H21" s="141"/>
      <c r="I21" s="8" t="s">
        <v>319</v>
      </c>
      <c r="J21" s="8" t="s">
        <v>264</v>
      </c>
      <c r="K21" s="8">
        <v>2022</v>
      </c>
      <c r="L21" s="8" t="s">
        <v>595</v>
      </c>
    </row>
    <row r="22" spans="1:12" x14ac:dyDescent="0.35">
      <c r="A22" s="8" t="s">
        <v>324</v>
      </c>
      <c r="B22" s="8" t="s">
        <v>587</v>
      </c>
      <c r="C22" s="8" t="s">
        <v>967</v>
      </c>
      <c r="D22" s="8" t="s">
        <v>967</v>
      </c>
      <c r="E22" s="8" t="s">
        <v>968</v>
      </c>
      <c r="F22" s="141">
        <v>2.0467096774193547E-2</v>
      </c>
      <c r="G22" s="141">
        <v>7.3096774193548387E-4</v>
      </c>
      <c r="H22" s="141"/>
      <c r="I22" s="8" t="s">
        <v>319</v>
      </c>
      <c r="J22" s="8" t="s">
        <v>264</v>
      </c>
      <c r="K22" s="8">
        <v>2022</v>
      </c>
      <c r="L22" s="8" t="s">
        <v>595</v>
      </c>
    </row>
    <row r="23" spans="1:12" x14ac:dyDescent="0.35">
      <c r="A23" s="8" t="s">
        <v>324</v>
      </c>
      <c r="B23" s="8" t="s">
        <v>588</v>
      </c>
      <c r="C23" s="8" t="s">
        <v>969</v>
      </c>
      <c r="D23" s="8" t="s">
        <v>969</v>
      </c>
      <c r="E23" s="8" t="s">
        <v>970</v>
      </c>
      <c r="F23" s="141">
        <v>2.8451612903225803E-3</v>
      </c>
      <c r="G23" s="141">
        <v>1.0161290322580645E-4</v>
      </c>
      <c r="H23" s="141"/>
      <c r="I23" s="8" t="s">
        <v>319</v>
      </c>
      <c r="J23" s="8" t="s">
        <v>264</v>
      </c>
      <c r="K23" s="8">
        <v>2022</v>
      </c>
      <c r="L23" s="8" t="s">
        <v>595</v>
      </c>
    </row>
    <row r="24" spans="1:12" x14ac:dyDescent="0.35">
      <c r="A24" s="8" t="s">
        <v>324</v>
      </c>
      <c r="B24" s="8" t="s">
        <v>589</v>
      </c>
      <c r="C24" s="8" t="s">
        <v>971</v>
      </c>
      <c r="D24" s="8" t="s">
        <v>971</v>
      </c>
      <c r="E24" s="8" t="s">
        <v>972</v>
      </c>
      <c r="F24" s="141">
        <v>0</v>
      </c>
      <c r="G24" s="141">
        <v>0</v>
      </c>
      <c r="H24" s="141"/>
      <c r="I24" s="8" t="s">
        <v>319</v>
      </c>
      <c r="J24" s="8" t="s">
        <v>264</v>
      </c>
      <c r="K24" s="8">
        <v>2022</v>
      </c>
      <c r="L24" s="8" t="s">
        <v>595</v>
      </c>
    </row>
    <row r="25" spans="1:12" x14ac:dyDescent="0.35">
      <c r="A25" s="8" t="s">
        <v>324</v>
      </c>
      <c r="B25" s="8" t="s">
        <v>590</v>
      </c>
      <c r="C25" s="8" t="s">
        <v>973</v>
      </c>
      <c r="D25" s="8" t="s">
        <v>973</v>
      </c>
      <c r="E25" s="8" t="s">
        <v>974</v>
      </c>
      <c r="F25" s="141">
        <v>3.7935483870967747E-3</v>
      </c>
      <c r="G25" s="141">
        <v>1.3548387096774196E-4</v>
      </c>
      <c r="H25" s="141"/>
      <c r="I25" s="8" t="s">
        <v>319</v>
      </c>
      <c r="J25" s="8" t="s">
        <v>264</v>
      </c>
      <c r="K25" s="8">
        <v>2022</v>
      </c>
      <c r="L25" s="8" t="s">
        <v>595</v>
      </c>
    </row>
    <row r="26" spans="1:12" x14ac:dyDescent="0.35">
      <c r="A26" s="8" t="s">
        <v>324</v>
      </c>
      <c r="B26" s="8" t="s">
        <v>591</v>
      </c>
      <c r="C26" s="8" t="s">
        <v>975</v>
      </c>
      <c r="D26" s="8" t="s">
        <v>975</v>
      </c>
      <c r="E26" s="8" t="s">
        <v>976</v>
      </c>
      <c r="F26" s="141">
        <v>5.5548387096774187E-3</v>
      </c>
      <c r="G26" s="141">
        <v>1.9838709677419354E-4</v>
      </c>
      <c r="H26" s="141"/>
      <c r="I26" s="8" t="s">
        <v>319</v>
      </c>
      <c r="J26" s="8" t="s">
        <v>264</v>
      </c>
      <c r="K26" s="8">
        <v>2022</v>
      </c>
      <c r="L26" s="8" t="s">
        <v>595</v>
      </c>
    </row>
    <row r="27" spans="1:12" x14ac:dyDescent="0.35">
      <c r="A27" s="8" t="s">
        <v>324</v>
      </c>
      <c r="B27" s="8" t="s">
        <v>592</v>
      </c>
      <c r="C27" s="8" t="s">
        <v>977</v>
      </c>
      <c r="D27" s="8" t="s">
        <v>977</v>
      </c>
      <c r="E27" s="8" t="s">
        <v>978</v>
      </c>
      <c r="F27" s="141">
        <v>2.6274838709677419E-2</v>
      </c>
      <c r="G27" s="141">
        <v>9.3838709677419353E-4</v>
      </c>
      <c r="H27" s="141"/>
      <c r="I27" s="8" t="s">
        <v>319</v>
      </c>
      <c r="J27" s="8" t="s">
        <v>264</v>
      </c>
      <c r="K27" s="8">
        <v>2022</v>
      </c>
      <c r="L27" s="8" t="s">
        <v>595</v>
      </c>
    </row>
    <row r="28" spans="1:12" x14ac:dyDescent="0.35">
      <c r="A28" s="8" t="s">
        <v>324</v>
      </c>
      <c r="B28" s="8" t="s">
        <v>593</v>
      </c>
      <c r="C28" s="8" t="s">
        <v>979</v>
      </c>
      <c r="D28" s="8" t="s">
        <v>979</v>
      </c>
      <c r="E28" s="8" t="s">
        <v>980</v>
      </c>
      <c r="F28" s="141">
        <v>1.3909677419354839E-4</v>
      </c>
      <c r="G28" s="141">
        <v>4.967741935483871E-6</v>
      </c>
      <c r="H28" s="141"/>
      <c r="I28" s="8" t="s">
        <v>319</v>
      </c>
      <c r="J28" s="8" t="s">
        <v>264</v>
      </c>
      <c r="K28" s="8">
        <v>2022</v>
      </c>
      <c r="L28" s="8" t="s">
        <v>595</v>
      </c>
    </row>
    <row r="29" spans="1:12" x14ac:dyDescent="0.35">
      <c r="A29" s="8" t="s">
        <v>324</v>
      </c>
      <c r="B29" s="8" t="s">
        <v>569</v>
      </c>
      <c r="C29" s="8" t="s">
        <v>981</v>
      </c>
      <c r="D29" s="8" t="s">
        <v>981</v>
      </c>
      <c r="E29" s="8" t="s">
        <v>982</v>
      </c>
      <c r="F29" s="141">
        <v>2.65E-3</v>
      </c>
      <c r="G29" s="141"/>
      <c r="H29" s="141">
        <v>1.0000000000000001E-5</v>
      </c>
      <c r="I29" s="8" t="s">
        <v>320</v>
      </c>
      <c r="J29" s="8" t="s">
        <v>264</v>
      </c>
      <c r="K29" s="8">
        <v>2022</v>
      </c>
      <c r="L29" s="8" t="s">
        <v>596</v>
      </c>
    </row>
    <row r="30" spans="1:12" x14ac:dyDescent="0.35">
      <c r="A30" s="8" t="s">
        <v>324</v>
      </c>
      <c r="B30" s="8" t="s">
        <v>570</v>
      </c>
      <c r="C30" s="8" t="s">
        <v>983</v>
      </c>
      <c r="D30" s="8" t="s">
        <v>983</v>
      </c>
      <c r="E30" s="8" t="s">
        <v>984</v>
      </c>
      <c r="F30" s="141">
        <v>2.65E-3</v>
      </c>
      <c r="G30" s="141"/>
      <c r="H30" s="141">
        <v>1.0000000000000001E-5</v>
      </c>
      <c r="I30" s="8" t="s">
        <v>320</v>
      </c>
      <c r="J30" s="8" t="s">
        <v>264</v>
      </c>
      <c r="K30" s="8">
        <v>2022</v>
      </c>
      <c r="L30" s="8" t="s">
        <v>596</v>
      </c>
    </row>
    <row r="31" spans="1:12" x14ac:dyDescent="0.35">
      <c r="A31" s="8" t="s">
        <v>324</v>
      </c>
      <c r="B31" s="8" t="s">
        <v>571</v>
      </c>
      <c r="C31" s="8" t="s">
        <v>985</v>
      </c>
      <c r="D31" s="8" t="s">
        <v>985</v>
      </c>
      <c r="E31" s="8" t="s">
        <v>986</v>
      </c>
      <c r="F31" s="141">
        <v>5.3E-3</v>
      </c>
      <c r="G31" s="141"/>
      <c r="H31" s="141">
        <v>2.0000000000000002E-5</v>
      </c>
      <c r="I31" s="8" t="s">
        <v>320</v>
      </c>
      <c r="J31" s="8" t="s">
        <v>264</v>
      </c>
      <c r="K31" s="8">
        <v>2022</v>
      </c>
      <c r="L31" s="8" t="s">
        <v>596</v>
      </c>
    </row>
    <row r="32" spans="1:12" x14ac:dyDescent="0.35">
      <c r="A32" s="8" t="s">
        <v>356</v>
      </c>
      <c r="B32" s="8" t="s">
        <v>992</v>
      </c>
      <c r="C32" s="8" t="s">
        <v>992</v>
      </c>
      <c r="D32" s="8" t="s">
        <v>992</v>
      </c>
      <c r="E32" s="8" t="s">
        <v>992</v>
      </c>
      <c r="F32" s="141">
        <v>1.292E-5</v>
      </c>
      <c r="G32" s="141">
        <v>3.0239999999975811E-5</v>
      </c>
      <c r="H32" s="141">
        <v>3.8159999999969477E-6</v>
      </c>
      <c r="I32" s="8" t="s">
        <v>42</v>
      </c>
      <c r="J32" s="8" t="s">
        <v>264</v>
      </c>
      <c r="K32" s="8">
        <v>2022</v>
      </c>
      <c r="L32" s="8" t="s">
        <v>289</v>
      </c>
    </row>
    <row r="33" spans="1:12" x14ac:dyDescent="0.35">
      <c r="A33" s="8" t="s">
        <v>356</v>
      </c>
      <c r="B33" s="8" t="s">
        <v>993</v>
      </c>
      <c r="C33" s="8" t="s">
        <v>993</v>
      </c>
      <c r="D33" s="8" t="s">
        <v>993</v>
      </c>
      <c r="E33" s="8" t="s">
        <v>993</v>
      </c>
      <c r="F33" s="141">
        <v>1.2919999999999999E-2</v>
      </c>
      <c r="G33" s="141">
        <v>3.02399999999758E-2</v>
      </c>
      <c r="H33" s="141">
        <v>3.8159999999969499E-3</v>
      </c>
      <c r="I33" s="8" t="s">
        <v>43</v>
      </c>
      <c r="J33" s="8" t="s">
        <v>264</v>
      </c>
      <c r="K33" s="8">
        <v>2022</v>
      </c>
      <c r="L33" s="8" t="s">
        <v>296</v>
      </c>
    </row>
    <row r="34" spans="1:12" x14ac:dyDescent="0.35">
      <c r="A34" s="8" t="s">
        <v>356</v>
      </c>
      <c r="B34" s="8" t="s">
        <v>994</v>
      </c>
      <c r="C34" s="8" t="s">
        <v>994</v>
      </c>
      <c r="D34" s="8" t="s">
        <v>994</v>
      </c>
      <c r="E34" s="8" t="s">
        <v>994</v>
      </c>
      <c r="F34" s="141">
        <v>4.8048250000000001E-2</v>
      </c>
      <c r="G34" s="141">
        <v>4.725E-3</v>
      </c>
      <c r="H34" s="141">
        <v>6.3E-5</v>
      </c>
      <c r="I34" s="8" t="s">
        <v>294</v>
      </c>
      <c r="J34" s="8" t="s">
        <v>264</v>
      </c>
      <c r="K34" s="8">
        <v>2022</v>
      </c>
      <c r="L34" s="8" t="s">
        <v>289</v>
      </c>
    </row>
    <row r="35" spans="1:12" x14ac:dyDescent="0.35">
      <c r="A35" s="8" t="s">
        <v>356</v>
      </c>
      <c r="B35" s="8" t="s">
        <v>995</v>
      </c>
      <c r="C35" s="8" t="s">
        <v>995</v>
      </c>
      <c r="D35" s="8" t="s">
        <v>995</v>
      </c>
      <c r="E35" s="8" t="s">
        <v>995</v>
      </c>
      <c r="F35" s="141">
        <v>1.0529999999999999E-5</v>
      </c>
      <c r="G35" s="141">
        <v>3.0239999999975811E-5</v>
      </c>
      <c r="H35" s="141">
        <v>3.8159999999969477E-6</v>
      </c>
      <c r="I35" s="8" t="s">
        <v>42</v>
      </c>
      <c r="J35" s="8" t="s">
        <v>264</v>
      </c>
      <c r="K35" s="8">
        <v>2022</v>
      </c>
      <c r="L35" s="8" t="s">
        <v>289</v>
      </c>
    </row>
    <row r="36" spans="1:12" x14ac:dyDescent="0.35">
      <c r="A36" s="8" t="s">
        <v>356</v>
      </c>
      <c r="B36" s="8" t="s">
        <v>996</v>
      </c>
      <c r="C36" s="8" t="s">
        <v>996</v>
      </c>
      <c r="D36" s="8" t="s">
        <v>996</v>
      </c>
      <c r="E36" s="8" t="s">
        <v>996</v>
      </c>
      <c r="F36" s="141">
        <v>1.0529999999999999E-2</v>
      </c>
      <c r="G36" s="141">
        <v>3.02399999999758E-2</v>
      </c>
      <c r="H36" s="141">
        <v>3.8159999999969499E-3</v>
      </c>
      <c r="I36" s="8" t="s">
        <v>43</v>
      </c>
      <c r="J36" s="8" t="s">
        <v>264</v>
      </c>
      <c r="K36" s="8">
        <v>2022</v>
      </c>
      <c r="L36" s="8" t="s">
        <v>296</v>
      </c>
    </row>
    <row r="37" spans="1:12" x14ac:dyDescent="0.35">
      <c r="A37" s="8" t="s">
        <v>356</v>
      </c>
      <c r="B37" s="8" t="s">
        <v>997</v>
      </c>
      <c r="C37" s="8" t="s">
        <v>997</v>
      </c>
      <c r="D37" s="8" t="s">
        <v>997</v>
      </c>
      <c r="E37" s="8" t="s">
        <v>997</v>
      </c>
      <c r="F37" s="141">
        <v>3.9788330000000004E-2</v>
      </c>
      <c r="G37" s="141">
        <v>4.4130000000000003E-3</v>
      </c>
      <c r="H37" s="141">
        <v>5.8840000000000006E-5</v>
      </c>
      <c r="I37" s="8" t="s">
        <v>294</v>
      </c>
      <c r="J37" s="8" t="s">
        <v>264</v>
      </c>
      <c r="K37" s="8">
        <v>2022</v>
      </c>
      <c r="L37" s="8" t="s">
        <v>289</v>
      </c>
    </row>
    <row r="38" spans="1:12" x14ac:dyDescent="0.35">
      <c r="A38" s="8" t="s">
        <v>356</v>
      </c>
      <c r="B38" s="8" t="s">
        <v>998</v>
      </c>
      <c r="C38" s="8" t="s">
        <v>998</v>
      </c>
      <c r="D38" s="8" t="s">
        <v>998</v>
      </c>
      <c r="E38" s="8" t="s">
        <v>998</v>
      </c>
      <c r="F38" s="141">
        <v>1.0529999999999999E-5</v>
      </c>
      <c r="G38" s="147">
        <v>3.0239999999975811E-5</v>
      </c>
      <c r="H38" s="147">
        <v>3.8159999999969477E-6</v>
      </c>
      <c r="I38" s="8" t="s">
        <v>42</v>
      </c>
      <c r="J38" s="8" t="s">
        <v>264</v>
      </c>
      <c r="K38" s="8">
        <v>2022</v>
      </c>
      <c r="L38" s="8" t="s">
        <v>289</v>
      </c>
    </row>
    <row r="39" spans="1:12" x14ac:dyDescent="0.35">
      <c r="A39" s="8" t="s">
        <v>356</v>
      </c>
      <c r="B39" s="8" t="s">
        <v>999</v>
      </c>
      <c r="C39" s="8" t="s">
        <v>999</v>
      </c>
      <c r="D39" s="8" t="s">
        <v>999</v>
      </c>
      <c r="E39" s="8" t="s">
        <v>999</v>
      </c>
      <c r="F39" s="141">
        <v>1.0529999999999999E-2</v>
      </c>
      <c r="G39" s="141">
        <v>3.02399999999758E-2</v>
      </c>
      <c r="H39" s="141">
        <v>3.8159999999969499E-3</v>
      </c>
      <c r="I39" s="8" t="s">
        <v>43</v>
      </c>
      <c r="J39" s="8" t="s">
        <v>264</v>
      </c>
      <c r="K39" s="8">
        <v>2022</v>
      </c>
      <c r="L39" s="8" t="s">
        <v>296</v>
      </c>
    </row>
    <row r="40" spans="1:12" x14ac:dyDescent="0.35">
      <c r="A40" s="8" t="s">
        <v>356</v>
      </c>
      <c r="B40" s="8" t="s">
        <v>1000</v>
      </c>
      <c r="C40" s="8" t="s">
        <v>1000</v>
      </c>
      <c r="D40" s="8" t="s">
        <v>1000</v>
      </c>
      <c r="E40" s="8" t="s">
        <v>1000</v>
      </c>
      <c r="F40" s="141">
        <v>4.3035760000000006E-2</v>
      </c>
      <c r="G40" s="141">
        <v>4.8768000000000006E-3</v>
      </c>
      <c r="H40" s="141">
        <v>6.5023999999999993E-5</v>
      </c>
      <c r="I40" s="8" t="s">
        <v>294</v>
      </c>
      <c r="J40" s="8" t="s">
        <v>264</v>
      </c>
      <c r="K40" s="8">
        <v>2022</v>
      </c>
      <c r="L40" s="8" t="s">
        <v>289</v>
      </c>
    </row>
    <row r="41" spans="1:12" x14ac:dyDescent="0.35">
      <c r="A41" s="8" t="s">
        <v>356</v>
      </c>
      <c r="B41" s="8" t="s">
        <v>1001</v>
      </c>
      <c r="C41" s="8" t="s">
        <v>1001</v>
      </c>
      <c r="D41" s="8" t="s">
        <v>1001</v>
      </c>
      <c r="E41" s="8" t="s">
        <v>1001</v>
      </c>
      <c r="F41" s="141">
        <v>1.0529999999999999E-5</v>
      </c>
      <c r="G41" s="141">
        <v>3.0239999999975811E-5</v>
      </c>
      <c r="H41" s="141">
        <v>3.8159999999969477E-6</v>
      </c>
      <c r="I41" s="8" t="s">
        <v>42</v>
      </c>
      <c r="J41" s="8" t="s">
        <v>264</v>
      </c>
      <c r="K41" s="8">
        <v>2022</v>
      </c>
      <c r="L41" s="8" t="s">
        <v>289</v>
      </c>
    </row>
    <row r="42" spans="1:12" x14ac:dyDescent="0.35">
      <c r="A42" s="8" t="s">
        <v>356</v>
      </c>
      <c r="B42" s="8" t="s">
        <v>1002</v>
      </c>
      <c r="C42" s="8" t="s">
        <v>1002</v>
      </c>
      <c r="D42" s="8" t="s">
        <v>1002</v>
      </c>
      <c r="E42" s="8" t="s">
        <v>1002</v>
      </c>
      <c r="F42" s="141">
        <v>1.0529999999999999E-2</v>
      </c>
      <c r="G42" s="141">
        <v>3.02399999999758E-2</v>
      </c>
      <c r="H42" s="141">
        <v>3.8159999999969499E-3</v>
      </c>
      <c r="I42" s="8" t="s">
        <v>43</v>
      </c>
      <c r="J42" s="8" t="s">
        <v>264</v>
      </c>
      <c r="K42" s="8">
        <v>2022</v>
      </c>
      <c r="L42" s="8" t="s">
        <v>296</v>
      </c>
    </row>
    <row r="43" spans="1:12" x14ac:dyDescent="0.35">
      <c r="A43" s="8" t="s">
        <v>356</v>
      </c>
      <c r="B43" s="8" t="s">
        <v>1003</v>
      </c>
      <c r="C43" s="8" t="s">
        <v>1003</v>
      </c>
      <c r="D43" s="8" t="s">
        <v>1003</v>
      </c>
      <c r="E43" s="8" t="s">
        <v>1003</v>
      </c>
      <c r="F43" s="141">
        <v>5.0554589999999996E-2</v>
      </c>
      <c r="G43" s="141">
        <v>5.6081999999999989E-3</v>
      </c>
      <c r="H43" s="141">
        <v>7.477599999999999E-5</v>
      </c>
      <c r="I43" s="8" t="s">
        <v>294</v>
      </c>
      <c r="J43" s="8" t="s">
        <v>264</v>
      </c>
      <c r="K43" s="8">
        <v>2022</v>
      </c>
      <c r="L43" s="8" t="s">
        <v>289</v>
      </c>
    </row>
    <row r="44" spans="1:12" x14ac:dyDescent="0.35">
      <c r="A44" s="8" t="s">
        <v>314</v>
      </c>
      <c r="B44" s="8" t="s">
        <v>316</v>
      </c>
      <c r="C44" s="8" t="s">
        <v>316</v>
      </c>
      <c r="D44" s="8" t="s">
        <v>316</v>
      </c>
      <c r="E44" s="8" t="s">
        <v>316</v>
      </c>
      <c r="F44" s="141">
        <v>2.3574999999999998E-4</v>
      </c>
      <c r="G44" s="141"/>
      <c r="H44" s="141"/>
      <c r="I44" s="8" t="s">
        <v>287</v>
      </c>
      <c r="J44" s="8" t="s">
        <v>264</v>
      </c>
      <c r="K44" s="8">
        <v>2022</v>
      </c>
      <c r="L44" s="8" t="s">
        <v>289</v>
      </c>
    </row>
    <row r="45" spans="1:12" x14ac:dyDescent="0.35">
      <c r="A45" s="8" t="s">
        <v>314</v>
      </c>
      <c r="B45" s="8" t="s">
        <v>313</v>
      </c>
      <c r="C45" s="8" t="s">
        <v>313</v>
      </c>
      <c r="D45" s="8" t="s">
        <v>313</v>
      </c>
      <c r="E45" s="8" t="s">
        <v>313</v>
      </c>
      <c r="F45" s="141">
        <v>2.3155999999999999E-4</v>
      </c>
      <c r="G45" s="141"/>
      <c r="H45" s="141"/>
      <c r="I45" s="8" t="s">
        <v>287</v>
      </c>
      <c r="J45" s="8" t="s">
        <v>264</v>
      </c>
      <c r="K45" s="8">
        <v>2022</v>
      </c>
      <c r="L45" s="8" t="s">
        <v>289</v>
      </c>
    </row>
    <row r="46" spans="1:12" x14ac:dyDescent="0.35">
      <c r="A46" s="8" t="s">
        <v>314</v>
      </c>
      <c r="B46" s="8" t="s">
        <v>317</v>
      </c>
      <c r="C46" s="8" t="s">
        <v>317</v>
      </c>
      <c r="D46" s="8" t="s">
        <v>317</v>
      </c>
      <c r="E46" s="8" t="s">
        <v>317</v>
      </c>
      <c r="F46" s="141">
        <v>2.5923999999999999E-4</v>
      </c>
      <c r="G46" s="141"/>
      <c r="H46" s="141"/>
      <c r="I46" s="8" t="s">
        <v>287</v>
      </c>
      <c r="J46" s="8" t="s">
        <v>264</v>
      </c>
      <c r="K46" s="8">
        <v>2022</v>
      </c>
      <c r="L46" s="8" t="s">
        <v>289</v>
      </c>
    </row>
    <row r="47" spans="1:12" x14ac:dyDescent="0.35">
      <c r="A47" s="8" t="s">
        <v>314</v>
      </c>
      <c r="B47" s="8" t="s">
        <v>315</v>
      </c>
      <c r="C47" s="8" t="s">
        <v>315</v>
      </c>
      <c r="D47" s="8" t="s">
        <v>315</v>
      </c>
      <c r="E47" s="8" t="s">
        <v>315</v>
      </c>
      <c r="F47" s="141">
        <v>2.1331999999999997E-4</v>
      </c>
      <c r="G47" s="141"/>
      <c r="H47" s="141"/>
      <c r="I47" s="8" t="s">
        <v>287</v>
      </c>
      <c r="J47" s="8" t="s">
        <v>264</v>
      </c>
      <c r="K47" s="8">
        <v>2022</v>
      </c>
      <c r="L47" s="8" t="s">
        <v>289</v>
      </c>
    </row>
    <row r="48" spans="1:12" x14ac:dyDescent="0.35">
      <c r="A48" s="8" t="s">
        <v>314</v>
      </c>
      <c r="B48" s="8" t="s">
        <v>318</v>
      </c>
      <c r="C48" s="8" t="s">
        <v>318</v>
      </c>
      <c r="D48" s="8" t="s">
        <v>318</v>
      </c>
      <c r="E48" s="8" t="s">
        <v>318</v>
      </c>
      <c r="F48" s="141">
        <v>2.3099000000000001E-4</v>
      </c>
      <c r="G48" s="141"/>
      <c r="H48" s="141"/>
      <c r="I48" s="8" t="s">
        <v>287</v>
      </c>
      <c r="J48" s="8" t="s">
        <v>264</v>
      </c>
      <c r="K48" s="8">
        <v>2022</v>
      </c>
      <c r="L48" s="8" t="s">
        <v>289</v>
      </c>
    </row>
    <row r="49" spans="1:12" x14ac:dyDescent="0.35">
      <c r="A49" s="8" t="s">
        <v>797</v>
      </c>
      <c r="B49" s="8" t="s">
        <v>1161</v>
      </c>
      <c r="C49" s="8" t="s">
        <v>1079</v>
      </c>
      <c r="D49" s="8" t="s">
        <v>1097</v>
      </c>
      <c r="E49" s="8" t="s">
        <v>1119</v>
      </c>
      <c r="F49" s="141">
        <v>1.3000000000000002E-4</v>
      </c>
      <c r="G49" s="90"/>
      <c r="H49" s="141"/>
      <c r="I49" s="8" t="s">
        <v>42</v>
      </c>
      <c r="J49" s="8" t="s">
        <v>264</v>
      </c>
      <c r="K49" s="8">
        <v>2020</v>
      </c>
      <c r="L49" s="8" t="s">
        <v>353</v>
      </c>
    </row>
    <row r="50" spans="1:12" x14ac:dyDescent="0.35">
      <c r="A50" s="8" t="s">
        <v>797</v>
      </c>
      <c r="B50" s="8" t="s">
        <v>1253</v>
      </c>
      <c r="C50" s="8" t="s">
        <v>1275</v>
      </c>
      <c r="D50" s="8" t="s">
        <v>1297</v>
      </c>
      <c r="E50" s="8" t="s">
        <v>1303</v>
      </c>
      <c r="F50" s="141">
        <v>1.3900000000000002E-4</v>
      </c>
      <c r="G50" s="90"/>
      <c r="H50" s="141"/>
      <c r="I50" s="8" t="s">
        <v>42</v>
      </c>
      <c r="J50" s="8" t="s">
        <v>264</v>
      </c>
      <c r="K50" s="8">
        <v>2021</v>
      </c>
      <c r="L50" s="8" t="s">
        <v>353</v>
      </c>
    </row>
    <row r="51" spans="1:12" x14ac:dyDescent="0.35">
      <c r="A51" s="8" t="s">
        <v>797</v>
      </c>
      <c r="B51" s="8" t="s">
        <v>1254</v>
      </c>
      <c r="C51" s="8" t="s">
        <v>1276</v>
      </c>
      <c r="D51" s="8" t="s">
        <v>1298</v>
      </c>
      <c r="E51" s="8" t="s">
        <v>1304</v>
      </c>
      <c r="F51" s="141">
        <v>1.3900000000000002E-4</v>
      </c>
      <c r="G51" s="90"/>
      <c r="H51" s="141"/>
      <c r="I51" s="8" t="s">
        <v>42</v>
      </c>
      <c r="J51" s="8" t="s">
        <v>264</v>
      </c>
      <c r="K51" s="8">
        <v>2022</v>
      </c>
      <c r="L51" s="8" t="s">
        <v>352</v>
      </c>
    </row>
    <row r="52" spans="1:12" x14ac:dyDescent="0.35">
      <c r="A52" s="8" t="s">
        <v>797</v>
      </c>
      <c r="B52" s="8" t="s">
        <v>1255</v>
      </c>
      <c r="C52" s="8" t="s">
        <v>1277</v>
      </c>
      <c r="D52" s="8" t="s">
        <v>1299</v>
      </c>
      <c r="E52" s="8" t="s">
        <v>1305</v>
      </c>
      <c r="F52" s="141">
        <v>1.3900000000000002E-4</v>
      </c>
      <c r="G52" s="90"/>
      <c r="H52" s="141"/>
      <c r="I52" s="8" t="s">
        <v>42</v>
      </c>
      <c r="J52" s="8" t="s">
        <v>264</v>
      </c>
      <c r="K52" s="8">
        <v>2023</v>
      </c>
      <c r="L52" s="8" t="s">
        <v>352</v>
      </c>
    </row>
    <row r="53" spans="1:12" x14ac:dyDescent="0.35">
      <c r="A53" s="8" t="s">
        <v>797</v>
      </c>
      <c r="B53" s="8" t="s">
        <v>1256</v>
      </c>
      <c r="C53" s="8" t="s">
        <v>1278</v>
      </c>
      <c r="D53" s="8" t="s">
        <v>1278</v>
      </c>
      <c r="E53" s="8" t="s">
        <v>1306</v>
      </c>
      <c r="F53" s="141">
        <v>9.1100000000000005E-5</v>
      </c>
      <c r="G53" s="90"/>
      <c r="H53" s="141"/>
      <c r="I53" s="8" t="s">
        <v>42</v>
      </c>
      <c r="J53" s="8" t="s">
        <v>354</v>
      </c>
      <c r="K53" s="8">
        <v>2020</v>
      </c>
      <c r="L53" s="8" t="s">
        <v>602</v>
      </c>
    </row>
    <row r="54" spans="1:12" x14ac:dyDescent="0.35">
      <c r="A54" s="8" t="s">
        <v>797</v>
      </c>
      <c r="B54" s="8" t="s">
        <v>1257</v>
      </c>
      <c r="C54" s="8" t="s">
        <v>1279</v>
      </c>
      <c r="D54" s="8" t="s">
        <v>1279</v>
      </c>
      <c r="E54" s="8" t="s">
        <v>1307</v>
      </c>
      <c r="F54" s="141">
        <v>8.8200000000000003E-5</v>
      </c>
      <c r="G54" s="90"/>
      <c r="H54" s="141"/>
      <c r="I54" s="8" t="s">
        <v>42</v>
      </c>
      <c r="J54" s="8" t="s">
        <v>354</v>
      </c>
      <c r="K54" s="8">
        <v>2021</v>
      </c>
      <c r="L54" s="8" t="s">
        <v>602</v>
      </c>
    </row>
    <row r="55" spans="1:12" x14ac:dyDescent="0.35">
      <c r="A55" s="8" t="s">
        <v>797</v>
      </c>
      <c r="B55" s="8" t="s">
        <v>1258</v>
      </c>
      <c r="C55" s="8" t="s">
        <v>1280</v>
      </c>
      <c r="D55" s="8" t="s">
        <v>1280</v>
      </c>
      <c r="E55" s="8" t="s">
        <v>1308</v>
      </c>
      <c r="F55" s="141">
        <v>8.7999999999999998E-5</v>
      </c>
      <c r="G55" s="90"/>
      <c r="H55" s="141"/>
      <c r="I55" s="8" t="s">
        <v>42</v>
      </c>
      <c r="J55" s="8" t="s">
        <v>354</v>
      </c>
      <c r="K55" s="8">
        <v>2022</v>
      </c>
      <c r="L55" s="8" t="s">
        <v>601</v>
      </c>
    </row>
    <row r="56" spans="1:12" x14ac:dyDescent="0.35">
      <c r="A56" s="8" t="s">
        <v>797</v>
      </c>
      <c r="B56" s="8" t="s">
        <v>1259</v>
      </c>
      <c r="C56" s="8" t="s">
        <v>1281</v>
      </c>
      <c r="D56" s="8" t="s">
        <v>1281</v>
      </c>
      <c r="E56" s="8" t="s">
        <v>1309</v>
      </c>
      <c r="F56" s="141">
        <v>8.7999999999999998E-5</v>
      </c>
      <c r="G56" s="90"/>
      <c r="H56" s="141"/>
      <c r="I56" s="8" t="s">
        <v>42</v>
      </c>
      <c r="J56" s="8" t="s">
        <v>354</v>
      </c>
      <c r="K56" s="8">
        <v>2023</v>
      </c>
      <c r="L56" s="8" t="s">
        <v>601</v>
      </c>
    </row>
    <row r="57" spans="1:12" x14ac:dyDescent="0.35">
      <c r="A57" s="8" t="s">
        <v>797</v>
      </c>
      <c r="B57" s="8" t="s">
        <v>1260</v>
      </c>
      <c r="C57" s="8" t="s">
        <v>1282</v>
      </c>
      <c r="D57" s="8" t="s">
        <v>1282</v>
      </c>
      <c r="E57" s="8" t="s">
        <v>1119</v>
      </c>
      <c r="F57" s="141">
        <v>1E-4</v>
      </c>
      <c r="G57" s="90"/>
      <c r="H57" s="141"/>
      <c r="I57" s="8" t="s">
        <v>42</v>
      </c>
      <c r="J57" s="8" t="s">
        <v>264</v>
      </c>
      <c r="K57" s="8">
        <v>2020</v>
      </c>
      <c r="L57" s="8" t="s">
        <v>355</v>
      </c>
    </row>
    <row r="58" spans="1:12" x14ac:dyDescent="0.35">
      <c r="A58" s="8" t="s">
        <v>797</v>
      </c>
      <c r="B58" s="8" t="s">
        <v>1261</v>
      </c>
      <c r="C58" s="8" t="s">
        <v>1283</v>
      </c>
      <c r="D58" s="8" t="s">
        <v>1283</v>
      </c>
      <c r="E58" s="8" t="s">
        <v>1303</v>
      </c>
      <c r="F58" s="141">
        <v>1E-4</v>
      </c>
      <c r="G58" s="90"/>
      <c r="H58" s="141"/>
      <c r="I58" s="8" t="s">
        <v>42</v>
      </c>
      <c r="J58" s="8" t="s">
        <v>264</v>
      </c>
      <c r="K58" s="8">
        <v>2021</v>
      </c>
      <c r="L58" s="8" t="s">
        <v>355</v>
      </c>
    </row>
    <row r="59" spans="1:12" x14ac:dyDescent="0.35">
      <c r="A59" s="8" t="s">
        <v>797</v>
      </c>
      <c r="B59" s="8" t="s">
        <v>1262</v>
      </c>
      <c r="C59" s="8" t="s">
        <v>1284</v>
      </c>
      <c r="D59" s="8" t="s">
        <v>1284</v>
      </c>
      <c r="E59" s="8" t="s">
        <v>1304</v>
      </c>
      <c r="F59" s="141">
        <v>1E-4</v>
      </c>
      <c r="G59" s="90"/>
      <c r="H59" s="141"/>
      <c r="I59" s="8" t="s">
        <v>42</v>
      </c>
      <c r="J59" s="8" t="s">
        <v>264</v>
      </c>
      <c r="K59" s="8">
        <v>2022</v>
      </c>
      <c r="L59" s="8" t="s">
        <v>352</v>
      </c>
    </row>
    <row r="60" spans="1:12" x14ac:dyDescent="0.35">
      <c r="A60" s="8" t="s">
        <v>797</v>
      </c>
      <c r="B60" s="8" t="s">
        <v>1263</v>
      </c>
      <c r="C60" s="8" t="s">
        <v>1285</v>
      </c>
      <c r="D60" s="8" t="s">
        <v>1285</v>
      </c>
      <c r="E60" s="8" t="s">
        <v>1305</v>
      </c>
      <c r="F60" s="141">
        <v>1E-4</v>
      </c>
      <c r="G60" s="90"/>
      <c r="H60" s="141"/>
      <c r="I60" s="8" t="s">
        <v>42</v>
      </c>
      <c r="J60" s="8" t="s">
        <v>264</v>
      </c>
      <c r="K60" s="8">
        <v>2023</v>
      </c>
      <c r="L60" s="8" t="s">
        <v>352</v>
      </c>
    </row>
    <row r="61" spans="1:12" x14ac:dyDescent="0.35">
      <c r="A61" s="8" t="s">
        <v>797</v>
      </c>
      <c r="B61" s="8" t="s">
        <v>1164</v>
      </c>
      <c r="C61" s="8" t="s">
        <v>1082</v>
      </c>
      <c r="D61" s="8" t="s">
        <v>1100</v>
      </c>
      <c r="E61" s="8" t="s">
        <v>1122</v>
      </c>
      <c r="F61" s="141">
        <v>3.6111111111140001E-2</v>
      </c>
      <c r="G61" s="90"/>
      <c r="H61" s="141"/>
      <c r="I61" s="8" t="s">
        <v>106</v>
      </c>
      <c r="J61" s="8" t="s">
        <v>264</v>
      </c>
      <c r="K61" s="8">
        <v>2020</v>
      </c>
      <c r="L61" s="8" t="s">
        <v>353</v>
      </c>
    </row>
    <row r="62" spans="1:12" x14ac:dyDescent="0.35">
      <c r="A62" s="8" t="s">
        <v>797</v>
      </c>
      <c r="B62" s="8" t="s">
        <v>1264</v>
      </c>
      <c r="C62" s="8" t="s">
        <v>1286</v>
      </c>
      <c r="D62" s="8" t="s">
        <v>1300</v>
      </c>
      <c r="E62" s="8" t="s">
        <v>1310</v>
      </c>
      <c r="F62" s="141">
        <v>3.8611111111142002E-2</v>
      </c>
      <c r="G62" s="90"/>
      <c r="H62" s="141"/>
      <c r="I62" s="8" t="s">
        <v>106</v>
      </c>
      <c r="J62" s="8" t="s">
        <v>264</v>
      </c>
      <c r="K62" s="8">
        <v>2021</v>
      </c>
      <c r="L62" s="8" t="s">
        <v>353</v>
      </c>
    </row>
    <row r="63" spans="1:12" x14ac:dyDescent="0.35">
      <c r="A63" s="8" t="s">
        <v>797</v>
      </c>
      <c r="B63" s="8" t="s">
        <v>1265</v>
      </c>
      <c r="C63" s="8" t="s">
        <v>1287</v>
      </c>
      <c r="D63" s="8" t="s">
        <v>1301</v>
      </c>
      <c r="E63" s="8" t="s">
        <v>1311</v>
      </c>
      <c r="F63" s="141">
        <v>3.8611111111142002E-2</v>
      </c>
      <c r="G63" s="90"/>
      <c r="H63" s="141"/>
      <c r="I63" s="8" t="s">
        <v>106</v>
      </c>
      <c r="J63" s="8" t="s">
        <v>264</v>
      </c>
      <c r="K63" s="8">
        <v>2022</v>
      </c>
      <c r="L63" s="8" t="s">
        <v>352</v>
      </c>
    </row>
    <row r="64" spans="1:12" x14ac:dyDescent="0.35">
      <c r="A64" s="8" t="s">
        <v>797</v>
      </c>
      <c r="B64" s="8" t="s">
        <v>1266</v>
      </c>
      <c r="C64" s="8" t="s">
        <v>1288</v>
      </c>
      <c r="D64" s="8" t="s">
        <v>1302</v>
      </c>
      <c r="E64" s="8" t="s">
        <v>1312</v>
      </c>
      <c r="F64" s="141">
        <v>3.8611111111142002E-2</v>
      </c>
      <c r="G64" s="90"/>
      <c r="H64" s="141"/>
      <c r="I64" s="8" t="s">
        <v>106</v>
      </c>
      <c r="J64" s="8" t="s">
        <v>264</v>
      </c>
      <c r="K64" s="8">
        <v>2023</v>
      </c>
      <c r="L64" s="8" t="s">
        <v>352</v>
      </c>
    </row>
    <row r="65" spans="1:12" x14ac:dyDescent="0.35">
      <c r="A65" s="8" t="s">
        <v>797</v>
      </c>
      <c r="B65" s="8" t="s">
        <v>1267</v>
      </c>
      <c r="C65" s="8" t="s">
        <v>1289</v>
      </c>
      <c r="D65" s="8" t="s">
        <v>1289</v>
      </c>
      <c r="E65" s="8" t="s">
        <v>1313</v>
      </c>
      <c r="F65" s="141">
        <v>2.5305555555575798E-2</v>
      </c>
      <c r="G65" s="90"/>
      <c r="H65" s="141"/>
      <c r="I65" s="8" t="s">
        <v>106</v>
      </c>
      <c r="J65" s="8" t="s">
        <v>354</v>
      </c>
      <c r="K65" s="8">
        <v>2020</v>
      </c>
      <c r="L65" s="8" t="s">
        <v>602</v>
      </c>
    </row>
    <row r="66" spans="1:12" x14ac:dyDescent="0.35">
      <c r="A66" s="8" t="s">
        <v>797</v>
      </c>
      <c r="B66" s="8" t="s">
        <v>1268</v>
      </c>
      <c r="C66" s="8" t="s">
        <v>1290</v>
      </c>
      <c r="D66" s="8" t="s">
        <v>1290</v>
      </c>
      <c r="E66" s="8" t="s">
        <v>1314</v>
      </c>
      <c r="F66" s="141">
        <v>2.45000000000196E-2</v>
      </c>
      <c r="G66" s="90"/>
      <c r="H66" s="141"/>
      <c r="I66" s="8" t="s">
        <v>106</v>
      </c>
      <c r="J66" s="8" t="s">
        <v>354</v>
      </c>
      <c r="K66" s="8">
        <v>2021</v>
      </c>
      <c r="L66" s="8" t="s">
        <v>602</v>
      </c>
    </row>
    <row r="67" spans="1:12" x14ac:dyDescent="0.35">
      <c r="A67" s="8" t="s">
        <v>797</v>
      </c>
      <c r="B67" s="8" t="s">
        <v>1269</v>
      </c>
      <c r="C67" s="8" t="s">
        <v>1291</v>
      </c>
      <c r="D67" s="8" t="s">
        <v>1291</v>
      </c>
      <c r="E67" s="8" t="s">
        <v>1315</v>
      </c>
      <c r="F67" s="141">
        <v>2.4444444444463996E-2</v>
      </c>
      <c r="G67" s="90"/>
      <c r="H67" s="141"/>
      <c r="I67" s="8" t="s">
        <v>106</v>
      </c>
      <c r="J67" s="8" t="s">
        <v>354</v>
      </c>
      <c r="K67" s="8">
        <v>2022</v>
      </c>
      <c r="L67" s="8" t="s">
        <v>601</v>
      </c>
    </row>
    <row r="68" spans="1:12" x14ac:dyDescent="0.35">
      <c r="A68" s="8" t="s">
        <v>797</v>
      </c>
      <c r="B68" s="8" t="s">
        <v>1270</v>
      </c>
      <c r="C68" s="8" t="s">
        <v>1292</v>
      </c>
      <c r="D68" s="8" t="s">
        <v>1292</v>
      </c>
      <c r="E68" s="8" t="s">
        <v>1316</v>
      </c>
      <c r="F68" s="141">
        <v>2.4444444444463996E-2</v>
      </c>
      <c r="G68" s="90"/>
      <c r="H68" s="141"/>
      <c r="I68" s="8" t="s">
        <v>106</v>
      </c>
      <c r="J68" s="8" t="s">
        <v>354</v>
      </c>
      <c r="K68" s="8">
        <v>2023</v>
      </c>
      <c r="L68" s="8" t="s">
        <v>601</v>
      </c>
    </row>
    <row r="69" spans="1:12" x14ac:dyDescent="0.35">
      <c r="A69" s="8" t="s">
        <v>797</v>
      </c>
      <c r="B69" s="8" t="s">
        <v>1271</v>
      </c>
      <c r="C69" s="8" t="s">
        <v>1293</v>
      </c>
      <c r="D69" s="8" t="s">
        <v>1293</v>
      </c>
      <c r="E69" s="8" t="s">
        <v>1122</v>
      </c>
      <c r="F69" s="141">
        <v>2.7777777777799998E-2</v>
      </c>
      <c r="G69" s="90"/>
      <c r="H69" s="141"/>
      <c r="I69" s="8" t="s">
        <v>106</v>
      </c>
      <c r="J69" s="8" t="s">
        <v>264</v>
      </c>
      <c r="K69" s="8">
        <v>2020</v>
      </c>
      <c r="L69" s="8" t="s">
        <v>355</v>
      </c>
    </row>
    <row r="70" spans="1:12" x14ac:dyDescent="0.35">
      <c r="A70" s="8" t="s">
        <v>797</v>
      </c>
      <c r="B70" s="8" t="s">
        <v>1272</v>
      </c>
      <c r="C70" s="8" t="s">
        <v>1294</v>
      </c>
      <c r="D70" s="8" t="s">
        <v>1294</v>
      </c>
      <c r="E70" s="8" t="s">
        <v>1310</v>
      </c>
      <c r="F70" s="141">
        <v>2.7777777777799998E-2</v>
      </c>
      <c r="G70" s="90"/>
      <c r="H70" s="141"/>
      <c r="I70" s="8" t="s">
        <v>106</v>
      </c>
      <c r="J70" s="8" t="s">
        <v>264</v>
      </c>
      <c r="K70" s="8">
        <v>2021</v>
      </c>
      <c r="L70" s="8" t="s">
        <v>355</v>
      </c>
    </row>
    <row r="71" spans="1:12" x14ac:dyDescent="0.35">
      <c r="A71" s="8" t="s">
        <v>797</v>
      </c>
      <c r="B71" s="8" t="s">
        <v>1273</v>
      </c>
      <c r="C71" s="8" t="s">
        <v>1295</v>
      </c>
      <c r="D71" s="8" t="s">
        <v>1295</v>
      </c>
      <c r="E71" s="8" t="s">
        <v>1311</v>
      </c>
      <c r="F71" s="141">
        <v>2.7777777777799998E-2</v>
      </c>
      <c r="G71" s="90"/>
      <c r="H71" s="141"/>
      <c r="I71" s="8" t="s">
        <v>106</v>
      </c>
      <c r="J71" s="8" t="s">
        <v>264</v>
      </c>
      <c r="K71" s="8">
        <v>2022</v>
      </c>
      <c r="L71" s="8" t="s">
        <v>352</v>
      </c>
    </row>
    <row r="72" spans="1:12" x14ac:dyDescent="0.35">
      <c r="A72" s="8" t="s">
        <v>797</v>
      </c>
      <c r="B72" s="8" t="s">
        <v>1274</v>
      </c>
      <c r="C72" s="8" t="s">
        <v>1296</v>
      </c>
      <c r="D72" s="8" t="s">
        <v>1296</v>
      </c>
      <c r="E72" s="8" t="s">
        <v>1312</v>
      </c>
      <c r="F72" s="141">
        <v>2.7777777777799998E-2</v>
      </c>
      <c r="G72" s="90"/>
      <c r="H72" s="141"/>
      <c r="I72" s="8" t="s">
        <v>106</v>
      </c>
      <c r="J72" s="8" t="s">
        <v>264</v>
      </c>
      <c r="K72" s="8">
        <v>2023</v>
      </c>
      <c r="L72" s="8" t="s">
        <v>352</v>
      </c>
    </row>
    <row r="73" spans="1:12" x14ac:dyDescent="0.35">
      <c r="A73" s="8" t="s">
        <v>797</v>
      </c>
      <c r="B73" s="8" t="s">
        <v>1136</v>
      </c>
      <c r="C73" s="8" t="s">
        <v>1054</v>
      </c>
      <c r="D73" s="8" t="s">
        <v>1088</v>
      </c>
      <c r="E73" s="8" t="s">
        <v>1110</v>
      </c>
      <c r="F73" s="141">
        <v>0.13</v>
      </c>
      <c r="G73" s="141"/>
      <c r="H73" s="141"/>
      <c r="I73" s="8" t="s">
        <v>43</v>
      </c>
      <c r="J73" s="8" t="s">
        <v>264</v>
      </c>
      <c r="K73" s="8">
        <v>2020</v>
      </c>
      <c r="L73" s="8" t="s">
        <v>353</v>
      </c>
    </row>
    <row r="74" spans="1:12" x14ac:dyDescent="0.35">
      <c r="A74" s="8" t="s">
        <v>797</v>
      </c>
      <c r="B74" s="8" t="s">
        <v>1137</v>
      </c>
      <c r="C74" s="8" t="s">
        <v>1055</v>
      </c>
      <c r="D74" s="8" t="s">
        <v>1089</v>
      </c>
      <c r="E74" s="8" t="s">
        <v>1111</v>
      </c>
      <c r="F74" s="141">
        <v>0.13900000000000001</v>
      </c>
      <c r="G74" s="141"/>
      <c r="H74" s="141"/>
      <c r="I74" s="8" t="s">
        <v>43</v>
      </c>
      <c r="J74" s="8" t="s">
        <v>264</v>
      </c>
      <c r="K74" s="8">
        <v>2021</v>
      </c>
      <c r="L74" s="8" t="s">
        <v>353</v>
      </c>
    </row>
    <row r="75" spans="1:12" x14ac:dyDescent="0.35">
      <c r="A75" s="8" t="s">
        <v>797</v>
      </c>
      <c r="B75" s="8" t="s">
        <v>1138</v>
      </c>
      <c r="C75" s="8" t="s">
        <v>1056</v>
      </c>
      <c r="D75" s="8" t="s">
        <v>1090</v>
      </c>
      <c r="E75" s="8" t="s">
        <v>1112</v>
      </c>
      <c r="F75" s="141">
        <v>0.13900000000000001</v>
      </c>
      <c r="G75" s="141"/>
      <c r="H75" s="141"/>
      <c r="I75" s="8" t="s">
        <v>43</v>
      </c>
      <c r="J75" s="8" t="s">
        <v>264</v>
      </c>
      <c r="K75" s="8">
        <v>2022</v>
      </c>
      <c r="L75" s="8" t="s">
        <v>352</v>
      </c>
    </row>
    <row r="76" spans="1:12" x14ac:dyDescent="0.35">
      <c r="A76" s="8" t="s">
        <v>797</v>
      </c>
      <c r="B76" s="8" t="s">
        <v>1139</v>
      </c>
      <c r="C76" s="8" t="s">
        <v>1057</v>
      </c>
      <c r="D76" s="8" t="s">
        <v>1091</v>
      </c>
      <c r="E76" s="8" t="s">
        <v>1113</v>
      </c>
      <c r="F76" s="141">
        <v>0.13900000000000001</v>
      </c>
      <c r="G76" s="141"/>
      <c r="H76" s="141"/>
      <c r="I76" s="8" t="s">
        <v>43</v>
      </c>
      <c r="J76" s="8" t="s">
        <v>264</v>
      </c>
      <c r="K76" s="8">
        <v>2023</v>
      </c>
      <c r="L76" s="8" t="s">
        <v>352</v>
      </c>
    </row>
    <row r="77" spans="1:12" x14ac:dyDescent="0.35">
      <c r="A77" s="8" t="s">
        <v>797</v>
      </c>
      <c r="B77" s="8" t="s">
        <v>1140</v>
      </c>
      <c r="C77" s="8" t="s">
        <v>1058</v>
      </c>
      <c r="D77" s="8" t="s">
        <v>1058</v>
      </c>
      <c r="E77" s="8" t="s">
        <v>1114</v>
      </c>
      <c r="F77" s="141">
        <v>9.11E-2</v>
      </c>
      <c r="G77" s="141"/>
      <c r="H77" s="141"/>
      <c r="I77" s="8" t="s">
        <v>43</v>
      </c>
      <c r="J77" s="8" t="s">
        <v>354</v>
      </c>
      <c r="K77" s="8">
        <v>2020</v>
      </c>
      <c r="L77" s="8" t="s">
        <v>602</v>
      </c>
    </row>
    <row r="78" spans="1:12" x14ac:dyDescent="0.35">
      <c r="A78" s="8" t="s">
        <v>797</v>
      </c>
      <c r="B78" s="8" t="s">
        <v>1141</v>
      </c>
      <c r="C78" s="8" t="s">
        <v>1059</v>
      </c>
      <c r="D78" s="8" t="s">
        <v>1059</v>
      </c>
      <c r="E78" s="8" t="s">
        <v>1115</v>
      </c>
      <c r="F78" s="141">
        <v>8.8200000000000001E-2</v>
      </c>
      <c r="G78" s="141"/>
      <c r="H78" s="141"/>
      <c r="I78" s="8" t="s">
        <v>43</v>
      </c>
      <c r="J78" s="8" t="s">
        <v>354</v>
      </c>
      <c r="K78" s="8">
        <v>2021</v>
      </c>
      <c r="L78" s="8" t="s">
        <v>602</v>
      </c>
    </row>
    <row r="79" spans="1:12" x14ac:dyDescent="0.35">
      <c r="A79" s="8" t="s">
        <v>797</v>
      </c>
      <c r="B79" s="8" t="s">
        <v>1142</v>
      </c>
      <c r="C79" s="8" t="s">
        <v>1060</v>
      </c>
      <c r="D79" s="8" t="s">
        <v>1060</v>
      </c>
      <c r="E79" s="8" t="s">
        <v>1116</v>
      </c>
      <c r="F79" s="141">
        <v>8.7999999999999995E-2</v>
      </c>
      <c r="G79" s="141"/>
      <c r="H79" s="141"/>
      <c r="I79" s="8" t="s">
        <v>43</v>
      </c>
      <c r="J79" s="8" t="s">
        <v>354</v>
      </c>
      <c r="K79" s="8">
        <v>2022</v>
      </c>
      <c r="L79" s="8" t="s">
        <v>601</v>
      </c>
    </row>
    <row r="80" spans="1:12" x14ac:dyDescent="0.35">
      <c r="A80" s="8" t="s">
        <v>797</v>
      </c>
      <c r="B80" s="8" t="s">
        <v>1143</v>
      </c>
      <c r="C80" s="8" t="s">
        <v>1061</v>
      </c>
      <c r="D80" s="8" t="s">
        <v>1061</v>
      </c>
      <c r="E80" s="8" t="s">
        <v>1117</v>
      </c>
      <c r="F80" s="141">
        <v>8.7999999999999995E-2</v>
      </c>
      <c r="G80" s="141"/>
      <c r="H80" s="141"/>
      <c r="I80" s="8" t="s">
        <v>43</v>
      </c>
      <c r="J80" s="8" t="s">
        <v>354</v>
      </c>
      <c r="K80" s="8">
        <v>2023</v>
      </c>
      <c r="L80" s="8" t="s">
        <v>601</v>
      </c>
    </row>
    <row r="81" spans="1:12" x14ac:dyDescent="0.35">
      <c r="A81" s="8" t="s">
        <v>797</v>
      </c>
      <c r="B81" s="8" t="s">
        <v>1144</v>
      </c>
      <c r="C81" s="8" t="s">
        <v>1062</v>
      </c>
      <c r="D81" s="8" t="s">
        <v>1062</v>
      </c>
      <c r="E81" s="8" t="s">
        <v>1110</v>
      </c>
      <c r="F81" s="141">
        <v>0.1</v>
      </c>
      <c r="G81" s="141"/>
      <c r="H81" s="141"/>
      <c r="I81" s="8" t="s">
        <v>43</v>
      </c>
      <c r="J81" s="8" t="s">
        <v>264</v>
      </c>
      <c r="K81" s="8">
        <v>2020</v>
      </c>
      <c r="L81" s="8" t="s">
        <v>355</v>
      </c>
    </row>
    <row r="82" spans="1:12" x14ac:dyDescent="0.35">
      <c r="A82" s="8" t="s">
        <v>797</v>
      </c>
      <c r="B82" s="8" t="s">
        <v>1145</v>
      </c>
      <c r="C82" s="8" t="s">
        <v>1063</v>
      </c>
      <c r="D82" s="8" t="s">
        <v>1063</v>
      </c>
      <c r="E82" s="8" t="s">
        <v>1111</v>
      </c>
      <c r="F82" s="141">
        <v>0.1</v>
      </c>
      <c r="G82" s="141"/>
      <c r="H82" s="141"/>
      <c r="I82" s="8" t="s">
        <v>43</v>
      </c>
      <c r="J82" s="8" t="s">
        <v>264</v>
      </c>
      <c r="K82" s="8">
        <v>2021</v>
      </c>
      <c r="L82" s="8" t="s">
        <v>355</v>
      </c>
    </row>
    <row r="83" spans="1:12" x14ac:dyDescent="0.35">
      <c r="A83" s="8" t="s">
        <v>797</v>
      </c>
      <c r="B83" s="8" t="s">
        <v>1146</v>
      </c>
      <c r="C83" s="8" t="s">
        <v>1064</v>
      </c>
      <c r="D83" s="8" t="s">
        <v>1064</v>
      </c>
      <c r="E83" s="8" t="s">
        <v>1112</v>
      </c>
      <c r="F83" s="141">
        <v>0.1</v>
      </c>
      <c r="G83" s="141"/>
      <c r="H83" s="141"/>
      <c r="I83" s="8" t="s">
        <v>43</v>
      </c>
      <c r="J83" s="8" t="s">
        <v>264</v>
      </c>
      <c r="K83" s="8">
        <v>2022</v>
      </c>
      <c r="L83" s="8" t="s">
        <v>352</v>
      </c>
    </row>
    <row r="84" spans="1:12" x14ac:dyDescent="0.35">
      <c r="A84" s="8" t="s">
        <v>797</v>
      </c>
      <c r="B84" s="8" t="s">
        <v>1147</v>
      </c>
      <c r="C84" s="8" t="s">
        <v>1065</v>
      </c>
      <c r="D84" s="8" t="s">
        <v>1065</v>
      </c>
      <c r="E84" s="8" t="s">
        <v>1113</v>
      </c>
      <c r="F84" s="141">
        <v>0.1</v>
      </c>
      <c r="G84" s="141"/>
      <c r="H84" s="141"/>
      <c r="I84" s="8" t="s">
        <v>43</v>
      </c>
      <c r="J84" s="8" t="s">
        <v>264</v>
      </c>
      <c r="K84" s="8">
        <v>2023</v>
      </c>
      <c r="L84" s="8" t="s">
        <v>352</v>
      </c>
    </row>
    <row r="85" spans="1:12" x14ac:dyDescent="0.35">
      <c r="A85" s="8" t="s">
        <v>796</v>
      </c>
      <c r="B85" s="8" t="s">
        <v>1124</v>
      </c>
      <c r="C85" s="8" t="s">
        <v>1042</v>
      </c>
      <c r="D85" s="8" t="s">
        <v>1084</v>
      </c>
      <c r="E85" s="8" t="s">
        <v>1102</v>
      </c>
      <c r="F85" s="141">
        <v>0.13</v>
      </c>
      <c r="G85" s="141"/>
      <c r="H85" s="141"/>
      <c r="I85" s="8" t="s">
        <v>43</v>
      </c>
      <c r="J85" s="8" t="s">
        <v>264</v>
      </c>
      <c r="K85" s="8">
        <v>2020</v>
      </c>
      <c r="L85" s="8" t="s">
        <v>353</v>
      </c>
    </row>
    <row r="86" spans="1:12" x14ac:dyDescent="0.35">
      <c r="A86" s="8" t="s">
        <v>796</v>
      </c>
      <c r="B86" s="8" t="s">
        <v>1125</v>
      </c>
      <c r="C86" s="8" t="s">
        <v>1043</v>
      </c>
      <c r="D86" s="8" t="s">
        <v>1085</v>
      </c>
      <c r="E86" s="8" t="s">
        <v>1103</v>
      </c>
      <c r="F86" s="141">
        <v>0.13900000000000001</v>
      </c>
      <c r="G86" s="141"/>
      <c r="H86" s="141"/>
      <c r="I86" s="8" t="s">
        <v>43</v>
      </c>
      <c r="J86" s="8" t="s">
        <v>264</v>
      </c>
      <c r="K86" s="8">
        <v>2021</v>
      </c>
      <c r="L86" s="8" t="s">
        <v>353</v>
      </c>
    </row>
    <row r="87" spans="1:12" x14ac:dyDescent="0.35">
      <c r="A87" s="8" t="s">
        <v>796</v>
      </c>
      <c r="B87" s="8" t="s">
        <v>1126</v>
      </c>
      <c r="C87" s="8" t="s">
        <v>1044</v>
      </c>
      <c r="D87" s="8" t="s">
        <v>1086</v>
      </c>
      <c r="E87" s="8" t="s">
        <v>1104</v>
      </c>
      <c r="F87" s="141">
        <v>0.13900000000000001</v>
      </c>
      <c r="G87" s="141"/>
      <c r="H87" s="141"/>
      <c r="I87" s="8" t="s">
        <v>43</v>
      </c>
      <c r="J87" s="8" t="s">
        <v>264</v>
      </c>
      <c r="K87" s="8">
        <v>2022</v>
      </c>
      <c r="L87" s="8" t="s">
        <v>352</v>
      </c>
    </row>
    <row r="88" spans="1:12" x14ac:dyDescent="0.35">
      <c r="A88" s="8" t="s">
        <v>796</v>
      </c>
      <c r="B88" s="8" t="s">
        <v>1127</v>
      </c>
      <c r="C88" s="8" t="s">
        <v>1045</v>
      </c>
      <c r="D88" s="8" t="s">
        <v>1087</v>
      </c>
      <c r="E88" s="8" t="s">
        <v>1105</v>
      </c>
      <c r="F88" s="141">
        <v>0.13900000000000001</v>
      </c>
      <c r="G88" s="141"/>
      <c r="H88" s="141"/>
      <c r="I88" s="8" t="s">
        <v>43</v>
      </c>
      <c r="J88" s="8" t="s">
        <v>264</v>
      </c>
      <c r="K88" s="8">
        <v>2023</v>
      </c>
      <c r="L88" s="8" t="s">
        <v>352</v>
      </c>
    </row>
    <row r="89" spans="1:12" x14ac:dyDescent="0.35">
      <c r="A89" s="8" t="s">
        <v>796</v>
      </c>
      <c r="B89" s="8" t="s">
        <v>1128</v>
      </c>
      <c r="C89" s="8" t="s">
        <v>1046</v>
      </c>
      <c r="D89" s="8" t="s">
        <v>1046</v>
      </c>
      <c r="E89" s="8" t="s">
        <v>1106</v>
      </c>
      <c r="F89" s="141">
        <v>9.11E-2</v>
      </c>
      <c r="G89" s="141"/>
      <c r="H89" s="141"/>
      <c r="I89" s="8" t="s">
        <v>43</v>
      </c>
      <c r="J89" s="8" t="s">
        <v>354</v>
      </c>
      <c r="K89" s="8">
        <v>2020</v>
      </c>
      <c r="L89" s="8" t="s">
        <v>602</v>
      </c>
    </row>
    <row r="90" spans="1:12" x14ac:dyDescent="0.35">
      <c r="A90" s="8" t="s">
        <v>796</v>
      </c>
      <c r="B90" s="8" t="s">
        <v>1129</v>
      </c>
      <c r="C90" s="8" t="s">
        <v>1047</v>
      </c>
      <c r="D90" s="8" t="s">
        <v>1047</v>
      </c>
      <c r="E90" s="8" t="s">
        <v>1107</v>
      </c>
      <c r="F90" s="141">
        <v>8.8200000000000001E-2</v>
      </c>
      <c r="G90" s="141"/>
      <c r="H90" s="141"/>
      <c r="I90" s="8" t="s">
        <v>43</v>
      </c>
      <c r="J90" s="8" t="s">
        <v>354</v>
      </c>
      <c r="K90" s="8">
        <v>2021</v>
      </c>
      <c r="L90" s="8" t="s">
        <v>602</v>
      </c>
    </row>
    <row r="91" spans="1:12" x14ac:dyDescent="0.35">
      <c r="A91" s="8" t="s">
        <v>796</v>
      </c>
      <c r="B91" s="8" t="s">
        <v>1130</v>
      </c>
      <c r="C91" s="8" t="s">
        <v>1048</v>
      </c>
      <c r="D91" s="8" t="s">
        <v>1048</v>
      </c>
      <c r="E91" s="8" t="s">
        <v>1108</v>
      </c>
      <c r="F91" s="141">
        <v>8.7999999999999995E-2</v>
      </c>
      <c r="G91" s="141"/>
      <c r="H91" s="141"/>
      <c r="I91" s="8" t="s">
        <v>43</v>
      </c>
      <c r="J91" s="8" t="s">
        <v>354</v>
      </c>
      <c r="K91" s="8">
        <v>2022</v>
      </c>
      <c r="L91" s="8" t="s">
        <v>601</v>
      </c>
    </row>
    <row r="92" spans="1:12" x14ac:dyDescent="0.35">
      <c r="A92" s="8" t="s">
        <v>796</v>
      </c>
      <c r="B92" s="8" t="s">
        <v>1131</v>
      </c>
      <c r="C92" s="8" t="s">
        <v>1049</v>
      </c>
      <c r="D92" s="8" t="s">
        <v>1049</v>
      </c>
      <c r="E92" s="8" t="s">
        <v>1109</v>
      </c>
      <c r="F92" s="141">
        <v>8.7999999999999995E-2</v>
      </c>
      <c r="G92" s="141"/>
      <c r="H92" s="141"/>
      <c r="I92" s="8" t="s">
        <v>43</v>
      </c>
      <c r="J92" s="8" t="s">
        <v>354</v>
      </c>
      <c r="K92" s="8">
        <v>2023</v>
      </c>
      <c r="L92" s="8" t="s">
        <v>601</v>
      </c>
    </row>
    <row r="93" spans="1:12" x14ac:dyDescent="0.35">
      <c r="A93" s="8" t="s">
        <v>796</v>
      </c>
      <c r="B93" s="8" t="s">
        <v>1132</v>
      </c>
      <c r="C93" s="8" t="s">
        <v>1050</v>
      </c>
      <c r="D93" s="8" t="s">
        <v>1050</v>
      </c>
      <c r="E93" s="8" t="s">
        <v>1102</v>
      </c>
      <c r="F93" s="141">
        <v>0.1</v>
      </c>
      <c r="G93" s="141"/>
      <c r="H93" s="141"/>
      <c r="I93" s="8" t="s">
        <v>43</v>
      </c>
      <c r="J93" s="8" t="s">
        <v>264</v>
      </c>
      <c r="K93" s="8">
        <v>2020</v>
      </c>
      <c r="L93" s="8" t="s">
        <v>355</v>
      </c>
    </row>
    <row r="94" spans="1:12" x14ac:dyDescent="0.35">
      <c r="A94" s="8" t="s">
        <v>796</v>
      </c>
      <c r="B94" s="8" t="s">
        <v>1133</v>
      </c>
      <c r="C94" s="8" t="s">
        <v>1051</v>
      </c>
      <c r="D94" s="8" t="s">
        <v>1051</v>
      </c>
      <c r="E94" s="8" t="s">
        <v>1103</v>
      </c>
      <c r="F94" s="141">
        <v>0.1</v>
      </c>
      <c r="G94" s="141"/>
      <c r="H94" s="141"/>
      <c r="I94" s="8" t="s">
        <v>43</v>
      </c>
      <c r="J94" s="8" t="s">
        <v>264</v>
      </c>
      <c r="K94" s="8">
        <v>2021</v>
      </c>
      <c r="L94" s="8" t="s">
        <v>355</v>
      </c>
    </row>
    <row r="95" spans="1:12" x14ac:dyDescent="0.35">
      <c r="A95" s="8" t="s">
        <v>796</v>
      </c>
      <c r="B95" s="8" t="s">
        <v>1134</v>
      </c>
      <c r="C95" s="8" t="s">
        <v>1052</v>
      </c>
      <c r="D95" s="8" t="s">
        <v>1052</v>
      </c>
      <c r="E95" s="8" t="s">
        <v>1104</v>
      </c>
      <c r="F95" s="141">
        <v>0.1</v>
      </c>
      <c r="G95" s="141"/>
      <c r="H95" s="141"/>
      <c r="I95" s="8" t="s">
        <v>43</v>
      </c>
      <c r="J95" s="8" t="s">
        <v>264</v>
      </c>
      <c r="K95" s="8">
        <v>2022</v>
      </c>
      <c r="L95" s="8" t="s">
        <v>352</v>
      </c>
    </row>
    <row r="96" spans="1:12" x14ac:dyDescent="0.35">
      <c r="A96" s="8" t="s">
        <v>796</v>
      </c>
      <c r="B96" s="8" t="s">
        <v>1135</v>
      </c>
      <c r="C96" s="8" t="s">
        <v>1053</v>
      </c>
      <c r="D96" s="8" t="s">
        <v>1053</v>
      </c>
      <c r="E96" s="8" t="s">
        <v>1105</v>
      </c>
      <c r="F96" s="141">
        <v>0.1</v>
      </c>
      <c r="G96" s="141"/>
      <c r="H96" s="141"/>
      <c r="I96" s="8" t="s">
        <v>43</v>
      </c>
      <c r="J96" s="8" t="s">
        <v>264</v>
      </c>
      <c r="K96" s="8">
        <v>2023</v>
      </c>
      <c r="L96" s="8" t="s">
        <v>352</v>
      </c>
    </row>
    <row r="97" spans="1:12" x14ac:dyDescent="0.35">
      <c r="A97" s="8" t="s">
        <v>796</v>
      </c>
      <c r="B97" s="8" t="s">
        <v>1160</v>
      </c>
      <c r="C97" s="8" t="s">
        <v>1078</v>
      </c>
      <c r="D97" s="8" t="s">
        <v>1096</v>
      </c>
      <c r="E97" s="8" t="s">
        <v>1118</v>
      </c>
      <c r="F97" s="141">
        <v>1.3000000000000002E-4</v>
      </c>
      <c r="G97" s="90"/>
      <c r="H97" s="141"/>
      <c r="I97" s="8" t="s">
        <v>42</v>
      </c>
      <c r="J97" s="8" t="s">
        <v>264</v>
      </c>
      <c r="K97" s="8">
        <v>2020</v>
      </c>
      <c r="L97" s="8" t="s">
        <v>353</v>
      </c>
    </row>
    <row r="98" spans="1:12" x14ac:dyDescent="0.35">
      <c r="A98" s="8" t="s">
        <v>796</v>
      </c>
      <c r="B98" s="8" t="s">
        <v>1210</v>
      </c>
      <c r="C98" s="8" t="s">
        <v>1189</v>
      </c>
      <c r="D98" s="8" t="s">
        <v>1200</v>
      </c>
      <c r="E98" s="8" t="s">
        <v>1203</v>
      </c>
      <c r="F98" s="141">
        <v>1.3900000000000002E-4</v>
      </c>
      <c r="G98" s="90"/>
      <c r="H98" s="141"/>
      <c r="I98" s="8" t="s">
        <v>42</v>
      </c>
      <c r="J98" s="8" t="s">
        <v>264</v>
      </c>
      <c r="K98" s="8">
        <v>2021</v>
      </c>
      <c r="L98" s="8" t="s">
        <v>353</v>
      </c>
    </row>
    <row r="99" spans="1:12" x14ac:dyDescent="0.35">
      <c r="A99" s="8" t="s">
        <v>796</v>
      </c>
      <c r="B99" s="8" t="s">
        <v>1211</v>
      </c>
      <c r="C99" s="8" t="s">
        <v>1190</v>
      </c>
      <c r="D99" s="8" t="s">
        <v>1201</v>
      </c>
      <c r="E99" s="8" t="s">
        <v>1204</v>
      </c>
      <c r="F99" s="141">
        <v>1.3900000000000002E-4</v>
      </c>
      <c r="G99" s="90"/>
      <c r="H99" s="141"/>
      <c r="I99" s="8" t="s">
        <v>42</v>
      </c>
      <c r="J99" s="8" t="s">
        <v>264</v>
      </c>
      <c r="K99" s="8">
        <v>2022</v>
      </c>
      <c r="L99" s="8" t="s">
        <v>352</v>
      </c>
    </row>
    <row r="100" spans="1:12" x14ac:dyDescent="0.35">
      <c r="A100" s="8" t="s">
        <v>796</v>
      </c>
      <c r="B100" s="8" t="s">
        <v>1212</v>
      </c>
      <c r="C100" s="8" t="s">
        <v>1191</v>
      </c>
      <c r="D100" s="8" t="s">
        <v>1202</v>
      </c>
      <c r="E100" s="8" t="s">
        <v>1205</v>
      </c>
      <c r="F100" s="141">
        <v>1.3900000000000002E-4</v>
      </c>
      <c r="G100" s="90"/>
      <c r="H100" s="141"/>
      <c r="I100" s="8" t="s">
        <v>42</v>
      </c>
      <c r="J100" s="8" t="s">
        <v>264</v>
      </c>
      <c r="K100" s="8">
        <v>2023</v>
      </c>
      <c r="L100" s="8" t="s">
        <v>352</v>
      </c>
    </row>
    <row r="101" spans="1:12" x14ac:dyDescent="0.35">
      <c r="A101" s="8" t="s">
        <v>796</v>
      </c>
      <c r="B101" s="8" t="s">
        <v>1213</v>
      </c>
      <c r="C101" s="8" t="s">
        <v>1192</v>
      </c>
      <c r="D101" s="8" t="s">
        <v>1192</v>
      </c>
      <c r="E101" s="8" t="s">
        <v>1206</v>
      </c>
      <c r="F101" s="141">
        <v>9.1100000000000005E-5</v>
      </c>
      <c r="G101" s="90"/>
      <c r="H101" s="141"/>
      <c r="I101" s="8" t="s">
        <v>42</v>
      </c>
      <c r="J101" s="8" t="s">
        <v>354</v>
      </c>
      <c r="K101" s="8">
        <v>2020</v>
      </c>
      <c r="L101" s="8" t="s">
        <v>602</v>
      </c>
    </row>
    <row r="102" spans="1:12" x14ac:dyDescent="0.35">
      <c r="A102" s="8" t="s">
        <v>796</v>
      </c>
      <c r="B102" s="8" t="s">
        <v>1214</v>
      </c>
      <c r="C102" s="8" t="s">
        <v>1193</v>
      </c>
      <c r="D102" s="8" t="s">
        <v>1193</v>
      </c>
      <c r="E102" s="8" t="s">
        <v>1207</v>
      </c>
      <c r="F102" s="141">
        <v>8.8200000000000003E-5</v>
      </c>
      <c r="G102" s="90"/>
      <c r="H102" s="141"/>
      <c r="I102" s="8" t="s">
        <v>42</v>
      </c>
      <c r="J102" s="8" t="s">
        <v>354</v>
      </c>
      <c r="K102" s="8">
        <v>2021</v>
      </c>
      <c r="L102" s="8" t="s">
        <v>602</v>
      </c>
    </row>
    <row r="103" spans="1:12" x14ac:dyDescent="0.35">
      <c r="A103" s="8" t="s">
        <v>796</v>
      </c>
      <c r="B103" s="8" t="s">
        <v>1215</v>
      </c>
      <c r="C103" s="8" t="s">
        <v>1194</v>
      </c>
      <c r="D103" s="8" t="s">
        <v>1194</v>
      </c>
      <c r="E103" s="8" t="s">
        <v>1208</v>
      </c>
      <c r="F103" s="141">
        <v>8.7999999999999998E-5</v>
      </c>
      <c r="G103" s="90"/>
      <c r="H103" s="141"/>
      <c r="I103" s="8" t="s">
        <v>42</v>
      </c>
      <c r="J103" s="8" t="s">
        <v>354</v>
      </c>
      <c r="K103" s="8">
        <v>2022</v>
      </c>
      <c r="L103" s="8" t="s">
        <v>601</v>
      </c>
    </row>
    <row r="104" spans="1:12" x14ac:dyDescent="0.35">
      <c r="A104" s="8" t="s">
        <v>796</v>
      </c>
      <c r="B104" s="8" t="s">
        <v>1216</v>
      </c>
      <c r="C104" s="8" t="s">
        <v>1195</v>
      </c>
      <c r="D104" s="8" t="s">
        <v>1195</v>
      </c>
      <c r="E104" s="8" t="s">
        <v>1209</v>
      </c>
      <c r="F104" s="141">
        <v>8.7999999999999998E-5</v>
      </c>
      <c r="G104" s="90"/>
      <c r="H104" s="141"/>
      <c r="I104" s="8" t="s">
        <v>42</v>
      </c>
      <c r="J104" s="8" t="s">
        <v>354</v>
      </c>
      <c r="K104" s="8">
        <v>2023</v>
      </c>
      <c r="L104" s="8" t="s">
        <v>601</v>
      </c>
    </row>
    <row r="105" spans="1:12" x14ac:dyDescent="0.35">
      <c r="A105" s="8" t="s">
        <v>796</v>
      </c>
      <c r="B105" s="8" t="s">
        <v>1217</v>
      </c>
      <c r="C105" s="8" t="s">
        <v>1196</v>
      </c>
      <c r="D105" s="8" t="s">
        <v>1196</v>
      </c>
      <c r="E105" s="8" t="s">
        <v>1118</v>
      </c>
      <c r="F105" s="141">
        <v>1E-4</v>
      </c>
      <c r="G105" s="90"/>
      <c r="H105" s="141"/>
      <c r="I105" s="8" t="s">
        <v>42</v>
      </c>
      <c r="J105" s="8" t="s">
        <v>264</v>
      </c>
      <c r="K105" s="8">
        <v>2020</v>
      </c>
      <c r="L105" s="8" t="s">
        <v>355</v>
      </c>
    </row>
    <row r="106" spans="1:12" x14ac:dyDescent="0.35">
      <c r="A106" s="8" t="s">
        <v>796</v>
      </c>
      <c r="B106" s="8" t="s">
        <v>1218</v>
      </c>
      <c r="C106" s="8" t="s">
        <v>1197</v>
      </c>
      <c r="D106" s="8" t="s">
        <v>1197</v>
      </c>
      <c r="E106" s="8" t="s">
        <v>1203</v>
      </c>
      <c r="F106" s="141">
        <v>1E-4</v>
      </c>
      <c r="G106" s="90"/>
      <c r="H106" s="141"/>
      <c r="I106" s="8" t="s">
        <v>42</v>
      </c>
      <c r="J106" s="8" t="s">
        <v>264</v>
      </c>
      <c r="K106" s="8">
        <v>2021</v>
      </c>
      <c r="L106" s="8" t="s">
        <v>355</v>
      </c>
    </row>
    <row r="107" spans="1:12" x14ac:dyDescent="0.35">
      <c r="A107" s="8" t="s">
        <v>796</v>
      </c>
      <c r="B107" s="8" t="s">
        <v>1219</v>
      </c>
      <c r="C107" s="8" t="s">
        <v>1198</v>
      </c>
      <c r="D107" s="8" t="s">
        <v>1198</v>
      </c>
      <c r="E107" s="8" t="s">
        <v>1204</v>
      </c>
      <c r="F107" s="141">
        <v>1E-4</v>
      </c>
      <c r="G107" s="90"/>
      <c r="H107" s="141"/>
      <c r="I107" s="8" t="s">
        <v>42</v>
      </c>
      <c r="J107" s="8" t="s">
        <v>264</v>
      </c>
      <c r="K107" s="8">
        <v>2022</v>
      </c>
      <c r="L107" s="8" t="s">
        <v>352</v>
      </c>
    </row>
    <row r="108" spans="1:12" x14ac:dyDescent="0.35">
      <c r="A108" s="8" t="s">
        <v>796</v>
      </c>
      <c r="B108" s="8" t="s">
        <v>1220</v>
      </c>
      <c r="C108" s="8" t="s">
        <v>1199</v>
      </c>
      <c r="D108" s="8" t="s">
        <v>1199</v>
      </c>
      <c r="E108" s="8" t="s">
        <v>1205</v>
      </c>
      <c r="F108" s="141">
        <v>1E-4</v>
      </c>
      <c r="G108" s="90"/>
      <c r="H108" s="141"/>
      <c r="I108" s="8" t="s">
        <v>42</v>
      </c>
      <c r="J108" s="8" t="s">
        <v>264</v>
      </c>
      <c r="K108" s="8">
        <v>2023</v>
      </c>
      <c r="L108" s="8" t="s">
        <v>352</v>
      </c>
    </row>
    <row r="109" spans="1:12" x14ac:dyDescent="0.35">
      <c r="A109" s="8" t="s">
        <v>796</v>
      </c>
      <c r="B109" s="8" t="s">
        <v>1163</v>
      </c>
      <c r="C109" s="8" t="s">
        <v>1081</v>
      </c>
      <c r="D109" s="8" t="s">
        <v>1099</v>
      </c>
      <c r="E109" s="8" t="s">
        <v>1121</v>
      </c>
      <c r="F109" s="141">
        <v>3.6111111111140001E-2</v>
      </c>
      <c r="G109" s="90"/>
      <c r="H109" s="141"/>
      <c r="I109" s="8" t="s">
        <v>106</v>
      </c>
      <c r="J109" s="8" t="s">
        <v>264</v>
      </c>
      <c r="K109" s="8">
        <v>2020</v>
      </c>
      <c r="L109" s="8" t="s">
        <v>353</v>
      </c>
    </row>
    <row r="110" spans="1:12" x14ac:dyDescent="0.35">
      <c r="A110" s="8" t="s">
        <v>796</v>
      </c>
      <c r="B110" s="8" t="s">
        <v>1221</v>
      </c>
      <c r="C110" s="8" t="s">
        <v>1232</v>
      </c>
      <c r="D110" s="8" t="s">
        <v>1243</v>
      </c>
      <c r="E110" s="8" t="s">
        <v>1246</v>
      </c>
      <c r="F110" s="141">
        <v>3.8611111111142002E-2</v>
      </c>
      <c r="G110" s="90"/>
      <c r="H110" s="141"/>
      <c r="I110" s="8" t="s">
        <v>106</v>
      </c>
      <c r="J110" s="8" t="s">
        <v>264</v>
      </c>
      <c r="K110" s="8">
        <v>2021</v>
      </c>
      <c r="L110" s="8" t="s">
        <v>353</v>
      </c>
    </row>
    <row r="111" spans="1:12" x14ac:dyDescent="0.35">
      <c r="A111" s="8" t="s">
        <v>796</v>
      </c>
      <c r="B111" s="8" t="s">
        <v>1222</v>
      </c>
      <c r="C111" s="8" t="s">
        <v>1233</v>
      </c>
      <c r="D111" s="8" t="s">
        <v>1244</v>
      </c>
      <c r="E111" s="8" t="s">
        <v>1247</v>
      </c>
      <c r="F111" s="141">
        <v>3.8611111111142002E-2</v>
      </c>
      <c r="G111" s="90"/>
      <c r="H111" s="141"/>
      <c r="I111" s="8" t="s">
        <v>106</v>
      </c>
      <c r="J111" s="8" t="s">
        <v>264</v>
      </c>
      <c r="K111" s="8">
        <v>2022</v>
      </c>
      <c r="L111" s="8" t="s">
        <v>352</v>
      </c>
    </row>
    <row r="112" spans="1:12" x14ac:dyDescent="0.35">
      <c r="A112" s="8" t="s">
        <v>796</v>
      </c>
      <c r="B112" s="8" t="s">
        <v>1223</v>
      </c>
      <c r="C112" s="8" t="s">
        <v>1234</v>
      </c>
      <c r="D112" s="8" t="s">
        <v>1245</v>
      </c>
      <c r="E112" s="8" t="s">
        <v>1248</v>
      </c>
      <c r="F112" s="141">
        <v>3.8611111111142002E-2</v>
      </c>
      <c r="G112" s="90"/>
      <c r="H112" s="141"/>
      <c r="I112" s="8" t="s">
        <v>106</v>
      </c>
      <c r="J112" s="8" t="s">
        <v>264</v>
      </c>
      <c r="K112" s="8">
        <v>2023</v>
      </c>
      <c r="L112" s="8" t="s">
        <v>352</v>
      </c>
    </row>
    <row r="113" spans="1:12" x14ac:dyDescent="0.35">
      <c r="A113" s="8" t="s">
        <v>796</v>
      </c>
      <c r="B113" s="8" t="s">
        <v>1224</v>
      </c>
      <c r="C113" s="8" t="s">
        <v>1235</v>
      </c>
      <c r="D113" s="8" t="s">
        <v>1235</v>
      </c>
      <c r="E113" s="8" t="s">
        <v>1249</v>
      </c>
      <c r="F113" s="141">
        <v>2.5305555555575798E-2</v>
      </c>
      <c r="G113" s="90"/>
      <c r="H113" s="141"/>
      <c r="I113" s="8" t="s">
        <v>106</v>
      </c>
      <c r="J113" s="8" t="s">
        <v>354</v>
      </c>
      <c r="K113" s="8">
        <v>2020</v>
      </c>
      <c r="L113" s="8" t="s">
        <v>602</v>
      </c>
    </row>
    <row r="114" spans="1:12" x14ac:dyDescent="0.35">
      <c r="A114" s="8" t="s">
        <v>796</v>
      </c>
      <c r="B114" s="8" t="s">
        <v>1225</v>
      </c>
      <c r="C114" s="8" t="s">
        <v>1236</v>
      </c>
      <c r="D114" s="8" t="s">
        <v>1236</v>
      </c>
      <c r="E114" s="8" t="s">
        <v>1250</v>
      </c>
      <c r="F114" s="141">
        <v>2.45000000000196E-2</v>
      </c>
      <c r="G114" s="90"/>
      <c r="H114" s="141"/>
      <c r="I114" s="8" t="s">
        <v>106</v>
      </c>
      <c r="J114" s="8" t="s">
        <v>354</v>
      </c>
      <c r="K114" s="8">
        <v>2021</v>
      </c>
      <c r="L114" s="8" t="s">
        <v>602</v>
      </c>
    </row>
    <row r="115" spans="1:12" x14ac:dyDescent="0.35">
      <c r="A115" s="8" t="s">
        <v>796</v>
      </c>
      <c r="B115" s="8" t="s">
        <v>1226</v>
      </c>
      <c r="C115" s="8" t="s">
        <v>1237</v>
      </c>
      <c r="D115" s="8" t="s">
        <v>1237</v>
      </c>
      <c r="E115" s="8" t="s">
        <v>1251</v>
      </c>
      <c r="F115" s="141">
        <v>2.4444444444463996E-2</v>
      </c>
      <c r="G115" s="90"/>
      <c r="H115" s="141"/>
      <c r="I115" s="8" t="s">
        <v>106</v>
      </c>
      <c r="J115" s="8" t="s">
        <v>354</v>
      </c>
      <c r="K115" s="8">
        <v>2022</v>
      </c>
      <c r="L115" s="8" t="s">
        <v>601</v>
      </c>
    </row>
    <row r="116" spans="1:12" x14ac:dyDescent="0.35">
      <c r="A116" s="8" t="s">
        <v>796</v>
      </c>
      <c r="B116" s="8" t="s">
        <v>1227</v>
      </c>
      <c r="C116" s="8" t="s">
        <v>1238</v>
      </c>
      <c r="D116" s="8" t="s">
        <v>1238</v>
      </c>
      <c r="E116" s="8" t="s">
        <v>1252</v>
      </c>
      <c r="F116" s="141">
        <v>2.4444444444463996E-2</v>
      </c>
      <c r="G116" s="90"/>
      <c r="H116" s="141"/>
      <c r="I116" s="8" t="s">
        <v>106</v>
      </c>
      <c r="J116" s="8" t="s">
        <v>354</v>
      </c>
      <c r="K116" s="8">
        <v>2023</v>
      </c>
      <c r="L116" s="8" t="s">
        <v>601</v>
      </c>
    </row>
    <row r="117" spans="1:12" x14ac:dyDescent="0.35">
      <c r="A117" s="8" t="s">
        <v>796</v>
      </c>
      <c r="B117" s="8" t="s">
        <v>1228</v>
      </c>
      <c r="C117" s="8" t="s">
        <v>1239</v>
      </c>
      <c r="D117" s="8" t="s">
        <v>1239</v>
      </c>
      <c r="E117" s="8" t="s">
        <v>1121</v>
      </c>
      <c r="F117" s="141">
        <v>2.7777777777799998E-2</v>
      </c>
      <c r="G117" s="90"/>
      <c r="H117" s="141"/>
      <c r="I117" s="8" t="s">
        <v>106</v>
      </c>
      <c r="J117" s="8" t="s">
        <v>264</v>
      </c>
      <c r="K117" s="8">
        <v>2020</v>
      </c>
      <c r="L117" s="8" t="s">
        <v>355</v>
      </c>
    </row>
    <row r="118" spans="1:12" x14ac:dyDescent="0.35">
      <c r="A118" s="8" t="s">
        <v>796</v>
      </c>
      <c r="B118" s="8" t="s">
        <v>1229</v>
      </c>
      <c r="C118" s="8" t="s">
        <v>1240</v>
      </c>
      <c r="D118" s="8" t="s">
        <v>1240</v>
      </c>
      <c r="E118" s="8" t="s">
        <v>1246</v>
      </c>
      <c r="F118" s="141">
        <v>2.7777777777799998E-2</v>
      </c>
      <c r="G118" s="90"/>
      <c r="H118" s="141"/>
      <c r="I118" s="8" t="s">
        <v>106</v>
      </c>
      <c r="J118" s="8" t="s">
        <v>264</v>
      </c>
      <c r="K118" s="8">
        <v>2021</v>
      </c>
      <c r="L118" s="8" t="s">
        <v>355</v>
      </c>
    </row>
    <row r="119" spans="1:12" x14ac:dyDescent="0.35">
      <c r="A119" s="8" t="s">
        <v>796</v>
      </c>
      <c r="B119" s="8" t="s">
        <v>1230</v>
      </c>
      <c r="C119" s="8" t="s">
        <v>1241</v>
      </c>
      <c r="D119" s="8" t="s">
        <v>1241</v>
      </c>
      <c r="E119" s="8" t="s">
        <v>1247</v>
      </c>
      <c r="F119" s="141">
        <v>2.7777777777799998E-2</v>
      </c>
      <c r="G119" s="90"/>
      <c r="H119" s="141"/>
      <c r="I119" s="8" t="s">
        <v>106</v>
      </c>
      <c r="J119" s="8" t="s">
        <v>264</v>
      </c>
      <c r="K119" s="8">
        <v>2022</v>
      </c>
      <c r="L119" s="8" t="s">
        <v>352</v>
      </c>
    </row>
    <row r="120" spans="1:12" x14ac:dyDescent="0.35">
      <c r="A120" s="8" t="s">
        <v>796</v>
      </c>
      <c r="B120" s="8" t="s">
        <v>1231</v>
      </c>
      <c r="C120" s="8" t="s">
        <v>1242</v>
      </c>
      <c r="D120" s="8" t="s">
        <v>1242</v>
      </c>
      <c r="E120" s="8" t="s">
        <v>1248</v>
      </c>
      <c r="F120" s="141">
        <v>2.7777777777799998E-2</v>
      </c>
      <c r="G120" s="90"/>
      <c r="H120" s="141"/>
      <c r="I120" s="8" t="s">
        <v>106</v>
      </c>
      <c r="J120" s="8" t="s">
        <v>264</v>
      </c>
      <c r="K120" s="8">
        <v>2023</v>
      </c>
      <c r="L120" s="8" t="s">
        <v>352</v>
      </c>
    </row>
    <row r="121" spans="1:12" x14ac:dyDescent="0.35">
      <c r="A121" s="8" t="s">
        <v>241</v>
      </c>
      <c r="B121" s="8" t="s">
        <v>1381</v>
      </c>
      <c r="C121" s="8" t="s">
        <v>1381</v>
      </c>
      <c r="D121" s="8" t="s">
        <v>1381</v>
      </c>
      <c r="E121" s="8" t="s">
        <v>1381</v>
      </c>
      <c r="F121" s="141">
        <v>0</v>
      </c>
      <c r="G121" s="90"/>
      <c r="H121" s="141"/>
      <c r="I121" s="8"/>
      <c r="J121" s="8"/>
      <c r="K121" s="8"/>
      <c r="L121" s="8"/>
    </row>
    <row r="122" spans="1:12" x14ac:dyDescent="0.35">
      <c r="A122" s="8" t="s">
        <v>241</v>
      </c>
      <c r="B122" s="8" t="s">
        <v>614</v>
      </c>
      <c r="C122" s="8" t="s">
        <v>615</v>
      </c>
      <c r="D122" s="8" t="s">
        <v>616</v>
      </c>
      <c r="E122" s="8" t="s">
        <v>617</v>
      </c>
      <c r="F122" s="141">
        <v>5.4688999999999996E-4</v>
      </c>
      <c r="G122" s="141"/>
      <c r="H122" s="141"/>
      <c r="I122" s="8" t="s">
        <v>106</v>
      </c>
      <c r="J122" s="8" t="s">
        <v>264</v>
      </c>
      <c r="K122" s="8">
        <v>2020</v>
      </c>
      <c r="L122" s="8" t="s">
        <v>599</v>
      </c>
    </row>
    <row r="123" spans="1:12" x14ac:dyDescent="0.35">
      <c r="A123" s="8" t="s">
        <v>241</v>
      </c>
      <c r="B123" s="8" t="s">
        <v>618</v>
      </c>
      <c r="C123" s="8" t="s">
        <v>619</v>
      </c>
      <c r="D123" s="8" t="s">
        <v>620</v>
      </c>
      <c r="E123" s="8" t="s">
        <v>621</v>
      </c>
      <c r="F123" s="141">
        <v>0.54688999999999999</v>
      </c>
      <c r="G123" s="141"/>
      <c r="H123" s="141"/>
      <c r="I123" s="8" t="s">
        <v>43</v>
      </c>
      <c r="J123" s="8" t="s">
        <v>264</v>
      </c>
      <c r="K123" s="8">
        <v>2020</v>
      </c>
      <c r="L123" s="8" t="s">
        <v>599</v>
      </c>
    </row>
    <row r="124" spans="1:12" x14ac:dyDescent="0.35">
      <c r="A124" s="8" t="s">
        <v>241</v>
      </c>
      <c r="B124" s="8" t="s">
        <v>622</v>
      </c>
      <c r="C124" s="8" t="s">
        <v>623</v>
      </c>
      <c r="D124" s="8" t="s">
        <v>624</v>
      </c>
      <c r="E124" s="8" t="s">
        <v>625</v>
      </c>
      <c r="F124" s="141">
        <v>546.89</v>
      </c>
      <c r="G124" s="141"/>
      <c r="H124" s="141"/>
      <c r="I124" s="8" t="s">
        <v>46</v>
      </c>
      <c r="J124" s="8" t="s">
        <v>264</v>
      </c>
      <c r="K124" s="8">
        <v>2020</v>
      </c>
      <c r="L124" s="8" t="s">
        <v>599</v>
      </c>
    </row>
    <row r="125" spans="1:12" x14ac:dyDescent="0.35">
      <c r="A125" s="8" t="s">
        <v>241</v>
      </c>
      <c r="B125" s="8" t="s">
        <v>626</v>
      </c>
      <c r="C125" s="8" t="s">
        <v>627</v>
      </c>
      <c r="D125" s="8" t="s">
        <v>628</v>
      </c>
      <c r="E125" s="8" t="s">
        <v>629</v>
      </c>
      <c r="F125" s="141">
        <v>0.15190963529999998</v>
      </c>
      <c r="G125" s="141"/>
      <c r="H125" s="141"/>
      <c r="I125" s="8" t="s">
        <v>106</v>
      </c>
      <c r="J125" s="8" t="s">
        <v>264</v>
      </c>
      <c r="K125" s="8">
        <v>2020</v>
      </c>
      <c r="L125" s="8" t="s">
        <v>599</v>
      </c>
    </row>
    <row r="126" spans="1:12" x14ac:dyDescent="0.35">
      <c r="A126" s="8" t="s">
        <v>241</v>
      </c>
      <c r="B126" s="8" t="s">
        <v>630</v>
      </c>
      <c r="C126" s="8" t="s">
        <v>631</v>
      </c>
      <c r="D126" s="8" t="s">
        <v>631</v>
      </c>
      <c r="E126" s="8" t="s">
        <v>632</v>
      </c>
      <c r="F126" s="141">
        <v>3.4018999999999998E-4</v>
      </c>
      <c r="G126" s="141"/>
      <c r="H126" s="141"/>
      <c r="I126" s="8" t="s">
        <v>42</v>
      </c>
      <c r="J126" s="8" t="s">
        <v>264</v>
      </c>
      <c r="K126" s="8">
        <v>2020</v>
      </c>
      <c r="L126" s="8" t="s">
        <v>599</v>
      </c>
    </row>
    <row r="127" spans="1:12" x14ac:dyDescent="0.35">
      <c r="A127" s="8" t="s">
        <v>241</v>
      </c>
      <c r="B127" s="8" t="s">
        <v>633</v>
      </c>
      <c r="C127" s="8" t="s">
        <v>634</v>
      </c>
      <c r="D127" s="8" t="s">
        <v>634</v>
      </c>
      <c r="E127" s="8" t="s">
        <v>635</v>
      </c>
      <c r="F127" s="141">
        <v>0.34018999999999999</v>
      </c>
      <c r="G127" s="141"/>
      <c r="H127" s="141"/>
      <c r="I127" s="8" t="s">
        <v>43</v>
      </c>
      <c r="J127" s="8" t="s">
        <v>264</v>
      </c>
      <c r="K127" s="8">
        <v>2020</v>
      </c>
      <c r="L127" s="8" t="s">
        <v>599</v>
      </c>
    </row>
    <row r="128" spans="1:12" x14ac:dyDescent="0.35">
      <c r="A128" s="8" t="s">
        <v>241</v>
      </c>
      <c r="B128" s="8" t="s">
        <v>636</v>
      </c>
      <c r="C128" s="8" t="s">
        <v>637</v>
      </c>
      <c r="D128" s="8" t="s">
        <v>637</v>
      </c>
      <c r="E128" s="8" t="s">
        <v>638</v>
      </c>
      <c r="F128" s="141">
        <v>340.19</v>
      </c>
      <c r="G128" s="141"/>
      <c r="H128" s="141"/>
      <c r="I128" s="8" t="s">
        <v>46</v>
      </c>
      <c r="J128" s="8" t="s">
        <v>264</v>
      </c>
      <c r="K128" s="8">
        <v>2020</v>
      </c>
      <c r="L128" s="8" t="s">
        <v>599</v>
      </c>
    </row>
    <row r="129" spans="1:12" x14ac:dyDescent="0.35">
      <c r="A129" s="8" t="s">
        <v>241</v>
      </c>
      <c r="B129" s="8" t="s">
        <v>639</v>
      </c>
      <c r="C129" s="8" t="s">
        <v>640</v>
      </c>
      <c r="D129" s="8" t="s">
        <v>640</v>
      </c>
      <c r="E129" s="8" t="s">
        <v>641</v>
      </c>
      <c r="F129" s="141">
        <v>9.4494576299999994E-2</v>
      </c>
      <c r="G129" s="141"/>
      <c r="H129" s="141"/>
      <c r="I129" s="8" t="s">
        <v>106</v>
      </c>
      <c r="J129" s="8" t="s">
        <v>264</v>
      </c>
      <c r="K129" s="8">
        <v>2020</v>
      </c>
      <c r="L129" s="8" t="s">
        <v>599</v>
      </c>
    </row>
    <row r="130" spans="1:12" x14ac:dyDescent="0.35">
      <c r="A130" s="8" t="s">
        <v>241</v>
      </c>
      <c r="B130" s="8" t="s">
        <v>642</v>
      </c>
      <c r="C130" s="8" t="s">
        <v>643</v>
      </c>
      <c r="D130" s="8" t="s">
        <v>643</v>
      </c>
      <c r="E130" s="8" t="s">
        <v>644</v>
      </c>
      <c r="F130" s="141">
        <v>4.2151999999999999E-4</v>
      </c>
      <c r="G130" s="141"/>
      <c r="H130" s="141"/>
      <c r="I130" s="8" t="s">
        <v>42</v>
      </c>
      <c r="J130" s="8" t="s">
        <v>264</v>
      </c>
      <c r="K130" s="8">
        <v>2020</v>
      </c>
      <c r="L130" s="8" t="s">
        <v>599</v>
      </c>
    </row>
    <row r="131" spans="1:12" x14ac:dyDescent="0.35">
      <c r="A131" s="8" t="s">
        <v>241</v>
      </c>
      <c r="B131" s="8" t="s">
        <v>645</v>
      </c>
      <c r="C131" s="8" t="s">
        <v>646</v>
      </c>
      <c r="D131" s="8" t="s">
        <v>646</v>
      </c>
      <c r="E131" s="8" t="s">
        <v>647</v>
      </c>
      <c r="F131" s="141">
        <v>0.42152000000000001</v>
      </c>
      <c r="G131" s="141"/>
      <c r="H131" s="141"/>
      <c r="I131" s="8" t="s">
        <v>43</v>
      </c>
      <c r="J131" s="8" t="s">
        <v>264</v>
      </c>
      <c r="K131" s="8">
        <v>2020</v>
      </c>
      <c r="L131" s="8" t="s">
        <v>599</v>
      </c>
    </row>
    <row r="132" spans="1:12" x14ac:dyDescent="0.35">
      <c r="A132" s="8" t="s">
        <v>241</v>
      </c>
      <c r="B132" s="8" t="s">
        <v>648</v>
      </c>
      <c r="C132" s="8" t="s">
        <v>649</v>
      </c>
      <c r="D132" s="8" t="s">
        <v>649</v>
      </c>
      <c r="E132" s="8" t="s">
        <v>650</v>
      </c>
      <c r="F132" s="141">
        <v>421.52</v>
      </c>
      <c r="G132" s="141"/>
      <c r="H132" s="141"/>
      <c r="I132" s="8" t="s">
        <v>46</v>
      </c>
      <c r="J132" s="8" t="s">
        <v>264</v>
      </c>
      <c r="K132" s="8">
        <v>2020</v>
      </c>
      <c r="L132" s="8" t="s">
        <v>599</v>
      </c>
    </row>
    <row r="133" spans="1:12" x14ac:dyDescent="0.35">
      <c r="A133" s="8" t="s">
        <v>241</v>
      </c>
      <c r="B133" s="8" t="s">
        <v>651</v>
      </c>
      <c r="C133" s="8" t="s">
        <v>652</v>
      </c>
      <c r="D133" s="8" t="s">
        <v>652</v>
      </c>
      <c r="E133" s="8" t="s">
        <v>653</v>
      </c>
      <c r="F133" s="141">
        <v>0.1170856104</v>
      </c>
      <c r="G133" s="141"/>
      <c r="H133" s="141"/>
      <c r="I133" s="8" t="s">
        <v>106</v>
      </c>
      <c r="J133" s="8" t="s">
        <v>264</v>
      </c>
      <c r="K133" s="8">
        <v>2020</v>
      </c>
      <c r="L133" s="8" t="s">
        <v>599</v>
      </c>
    </row>
    <row r="134" spans="1:12" x14ac:dyDescent="0.35">
      <c r="A134" s="8" t="s">
        <v>241</v>
      </c>
      <c r="B134" s="8" t="s">
        <v>654</v>
      </c>
      <c r="C134" s="8" t="s">
        <v>655</v>
      </c>
      <c r="D134" s="8" t="s">
        <v>656</v>
      </c>
      <c r="E134" s="8" t="s">
        <v>657</v>
      </c>
      <c r="F134" s="141">
        <v>6.3658000000000009E-4</v>
      </c>
      <c r="G134" s="141"/>
      <c r="H134" s="141"/>
      <c r="I134" s="8" t="s">
        <v>42</v>
      </c>
      <c r="J134" s="8" t="s">
        <v>264</v>
      </c>
      <c r="K134" s="8">
        <v>2021</v>
      </c>
      <c r="L134" s="8" t="s">
        <v>598</v>
      </c>
    </row>
    <row r="135" spans="1:12" x14ac:dyDescent="0.35">
      <c r="A135" s="8" t="s">
        <v>241</v>
      </c>
      <c r="B135" s="8" t="s">
        <v>658</v>
      </c>
      <c r="C135" s="8" t="s">
        <v>659</v>
      </c>
      <c r="D135" s="8" t="s">
        <v>660</v>
      </c>
      <c r="E135" s="8" t="s">
        <v>661</v>
      </c>
      <c r="F135" s="141">
        <v>0.63658000000000003</v>
      </c>
      <c r="G135" s="141"/>
      <c r="H135" s="141"/>
      <c r="I135" s="8" t="s">
        <v>43</v>
      </c>
      <c r="J135" s="8" t="s">
        <v>264</v>
      </c>
      <c r="K135" s="8">
        <v>2021</v>
      </c>
      <c r="L135" s="8" t="s">
        <v>598</v>
      </c>
    </row>
    <row r="136" spans="1:12" x14ac:dyDescent="0.35">
      <c r="A136" s="8" t="s">
        <v>241</v>
      </c>
      <c r="B136" s="8" t="s">
        <v>662</v>
      </c>
      <c r="C136" s="8" t="s">
        <v>663</v>
      </c>
      <c r="D136" s="8" t="s">
        <v>664</v>
      </c>
      <c r="E136" s="8" t="s">
        <v>665</v>
      </c>
      <c r="F136" s="141">
        <v>636.58000000000004</v>
      </c>
      <c r="G136" s="141"/>
      <c r="H136" s="141"/>
      <c r="I136" s="8" t="s">
        <v>46</v>
      </c>
      <c r="J136" s="8" t="s">
        <v>264</v>
      </c>
      <c r="K136" s="8">
        <v>2021</v>
      </c>
      <c r="L136" s="8" t="s">
        <v>598</v>
      </c>
    </row>
    <row r="137" spans="1:12" x14ac:dyDescent="0.35">
      <c r="A137" s="8" t="s">
        <v>241</v>
      </c>
      <c r="B137" s="8" t="s">
        <v>666</v>
      </c>
      <c r="C137" s="8" t="s">
        <v>667</v>
      </c>
      <c r="D137" s="8" t="s">
        <v>668</v>
      </c>
      <c r="E137" s="8" t="s">
        <v>669</v>
      </c>
      <c r="F137" s="141">
        <v>0.17682282659999998</v>
      </c>
      <c r="G137" s="141"/>
      <c r="H137" s="141"/>
      <c r="I137" s="8" t="s">
        <v>106</v>
      </c>
      <c r="J137" s="8" t="s">
        <v>264</v>
      </c>
      <c r="K137" s="8">
        <v>2021</v>
      </c>
      <c r="L137" s="8" t="s">
        <v>598</v>
      </c>
    </row>
    <row r="138" spans="1:12" x14ac:dyDescent="0.35">
      <c r="A138" s="8" t="s">
        <v>241</v>
      </c>
      <c r="B138" s="8" t="s">
        <v>670</v>
      </c>
      <c r="C138" s="8" t="s">
        <v>671</v>
      </c>
      <c r="D138" s="8" t="s">
        <v>671</v>
      </c>
      <c r="E138" s="8" t="s">
        <v>672</v>
      </c>
      <c r="F138" s="141">
        <v>3.8450000000000002E-4</v>
      </c>
      <c r="G138" s="141"/>
      <c r="H138" s="141"/>
      <c r="I138" s="8" t="s">
        <v>42</v>
      </c>
      <c r="J138" s="8" t="s">
        <v>264</v>
      </c>
      <c r="K138" s="8">
        <v>2021</v>
      </c>
      <c r="L138" s="8" t="s">
        <v>598</v>
      </c>
    </row>
    <row r="139" spans="1:12" x14ac:dyDescent="0.35">
      <c r="A139" s="8" t="s">
        <v>241</v>
      </c>
      <c r="B139" s="8" t="s">
        <v>673</v>
      </c>
      <c r="C139" s="8" t="s">
        <v>674</v>
      </c>
      <c r="D139" s="8" t="s">
        <v>674</v>
      </c>
      <c r="E139" s="8" t="s">
        <v>675</v>
      </c>
      <c r="F139" s="141">
        <v>0.38450000000000001</v>
      </c>
      <c r="G139" s="141"/>
      <c r="H139" s="141"/>
      <c r="I139" s="8" t="s">
        <v>43</v>
      </c>
      <c r="J139" s="8" t="s">
        <v>264</v>
      </c>
      <c r="K139" s="8">
        <v>2021</v>
      </c>
      <c r="L139" s="8" t="s">
        <v>598</v>
      </c>
    </row>
    <row r="140" spans="1:12" x14ac:dyDescent="0.35">
      <c r="A140" s="8" t="s">
        <v>241</v>
      </c>
      <c r="B140" s="8" t="s">
        <v>676</v>
      </c>
      <c r="C140" s="8" t="s">
        <v>677</v>
      </c>
      <c r="D140" s="8" t="s">
        <v>677</v>
      </c>
      <c r="E140" s="8" t="s">
        <v>678</v>
      </c>
      <c r="F140" s="141">
        <v>384.5</v>
      </c>
      <c r="G140" s="141"/>
      <c r="H140" s="141"/>
      <c r="I140" s="8" t="s">
        <v>46</v>
      </c>
      <c r="J140" s="8" t="s">
        <v>264</v>
      </c>
      <c r="K140" s="8">
        <v>2021</v>
      </c>
      <c r="L140" s="8" t="s">
        <v>598</v>
      </c>
    </row>
    <row r="141" spans="1:12" x14ac:dyDescent="0.35">
      <c r="A141" s="8" t="s">
        <v>241</v>
      </c>
      <c r="B141" s="8" t="s">
        <v>679</v>
      </c>
      <c r="C141" s="8" t="s">
        <v>680</v>
      </c>
      <c r="D141" s="8" t="s">
        <v>680</v>
      </c>
      <c r="E141" s="8" t="s">
        <v>681</v>
      </c>
      <c r="F141" s="141">
        <v>0.106802565</v>
      </c>
      <c r="G141" s="141"/>
      <c r="H141" s="141"/>
      <c r="I141" s="8" t="s">
        <v>106</v>
      </c>
      <c r="J141" s="8" t="s">
        <v>264</v>
      </c>
      <c r="K141" s="8">
        <v>2021</v>
      </c>
      <c r="L141" s="8" t="s">
        <v>598</v>
      </c>
    </row>
    <row r="142" spans="1:12" x14ac:dyDescent="0.35">
      <c r="A142" s="8" t="s">
        <v>241</v>
      </c>
      <c r="B142" s="8" t="s">
        <v>682</v>
      </c>
      <c r="C142" s="8" t="s">
        <v>683</v>
      </c>
      <c r="D142" s="8" t="s">
        <v>683</v>
      </c>
      <c r="E142" s="8" t="s">
        <v>684</v>
      </c>
      <c r="F142" s="141">
        <v>3.0257999999999994E-4</v>
      </c>
      <c r="G142" s="141"/>
      <c r="H142" s="141"/>
      <c r="I142" s="8" t="s">
        <v>42</v>
      </c>
      <c r="J142" s="8" t="s">
        <v>264</v>
      </c>
      <c r="K142" s="8">
        <v>2021</v>
      </c>
      <c r="L142" s="8" t="s">
        <v>598</v>
      </c>
    </row>
    <row r="143" spans="1:12" x14ac:dyDescent="0.35">
      <c r="A143" s="8" t="s">
        <v>241</v>
      </c>
      <c r="B143" s="8" t="s">
        <v>685</v>
      </c>
      <c r="C143" s="8" t="s">
        <v>686</v>
      </c>
      <c r="D143" s="8" t="s">
        <v>686</v>
      </c>
      <c r="E143" s="8" t="s">
        <v>687</v>
      </c>
      <c r="F143" s="141">
        <v>0.30257999999999996</v>
      </c>
      <c r="G143" s="141"/>
      <c r="H143" s="141"/>
      <c r="I143" s="8" t="s">
        <v>43</v>
      </c>
      <c r="J143" s="8" t="s">
        <v>264</v>
      </c>
      <c r="K143" s="8">
        <v>2021</v>
      </c>
      <c r="L143" s="8" t="s">
        <v>598</v>
      </c>
    </row>
    <row r="144" spans="1:12" x14ac:dyDescent="0.35">
      <c r="A144" s="8" t="s">
        <v>241</v>
      </c>
      <c r="B144" s="8" t="s">
        <v>688</v>
      </c>
      <c r="C144" s="8" t="s">
        <v>689</v>
      </c>
      <c r="D144" s="8" t="s">
        <v>689</v>
      </c>
      <c r="E144" s="8" t="s">
        <v>690</v>
      </c>
      <c r="F144" s="141">
        <v>302.58</v>
      </c>
      <c r="G144" s="141"/>
      <c r="H144" s="141"/>
      <c r="I144" s="8" t="s">
        <v>46</v>
      </c>
      <c r="J144" s="8" t="s">
        <v>264</v>
      </c>
      <c r="K144" s="8">
        <v>2021</v>
      </c>
      <c r="L144" s="8" t="s">
        <v>598</v>
      </c>
    </row>
    <row r="145" spans="1:12" x14ac:dyDescent="0.35">
      <c r="A145" s="8" t="s">
        <v>241</v>
      </c>
      <c r="B145" s="8" t="s">
        <v>691</v>
      </c>
      <c r="C145" s="8" t="s">
        <v>692</v>
      </c>
      <c r="D145" s="8" t="s">
        <v>692</v>
      </c>
      <c r="E145" s="8" t="s">
        <v>693</v>
      </c>
      <c r="F145" s="141">
        <v>8.4047646599999984E-2</v>
      </c>
      <c r="G145" s="141"/>
      <c r="H145" s="141"/>
      <c r="I145" s="8" t="s">
        <v>106</v>
      </c>
      <c r="J145" s="8" t="s">
        <v>264</v>
      </c>
      <c r="K145" s="8">
        <v>2021</v>
      </c>
      <c r="L145" s="8" t="s">
        <v>598</v>
      </c>
    </row>
    <row r="146" spans="1:12" x14ac:dyDescent="0.35">
      <c r="A146" s="8" t="s">
        <v>241</v>
      </c>
      <c r="B146" s="8" t="s">
        <v>694</v>
      </c>
      <c r="C146" s="8" t="s">
        <v>695</v>
      </c>
      <c r="D146" s="8" t="s">
        <v>695</v>
      </c>
      <c r="E146" s="8" t="s">
        <v>696</v>
      </c>
      <c r="F146" s="141">
        <v>5.1071000000000005E-4</v>
      </c>
      <c r="G146" s="141"/>
      <c r="H146" s="141"/>
      <c r="I146" s="8" t="s">
        <v>42</v>
      </c>
      <c r="J146" s="8" t="s">
        <v>264</v>
      </c>
      <c r="K146" s="8">
        <v>2022</v>
      </c>
      <c r="L146" s="8" t="s">
        <v>597</v>
      </c>
    </row>
    <row r="147" spans="1:12" x14ac:dyDescent="0.35">
      <c r="A147" s="8" t="s">
        <v>241</v>
      </c>
      <c r="B147" s="8" t="s">
        <v>697</v>
      </c>
      <c r="C147" s="8" t="s">
        <v>698</v>
      </c>
      <c r="D147" s="8" t="s">
        <v>698</v>
      </c>
      <c r="E147" s="8" t="s">
        <v>699</v>
      </c>
      <c r="F147" s="141">
        <v>0.51071</v>
      </c>
      <c r="G147" s="141"/>
      <c r="H147" s="141"/>
      <c r="I147" s="8" t="s">
        <v>43</v>
      </c>
      <c r="J147" s="8" t="s">
        <v>264</v>
      </c>
      <c r="K147" s="8">
        <v>2022</v>
      </c>
      <c r="L147" s="8" t="s">
        <v>597</v>
      </c>
    </row>
    <row r="148" spans="1:12" x14ac:dyDescent="0.35">
      <c r="A148" s="8" t="s">
        <v>241</v>
      </c>
      <c r="B148" s="8" t="s">
        <v>700</v>
      </c>
      <c r="C148" s="8" t="s">
        <v>701</v>
      </c>
      <c r="D148" s="8" t="s">
        <v>701</v>
      </c>
      <c r="E148" s="8" t="s">
        <v>702</v>
      </c>
      <c r="F148" s="141">
        <v>510.71</v>
      </c>
      <c r="G148" s="141"/>
      <c r="H148" s="141"/>
      <c r="I148" s="8" t="s">
        <v>46</v>
      </c>
      <c r="J148" s="8" t="s">
        <v>264</v>
      </c>
      <c r="K148" s="8">
        <v>2022</v>
      </c>
      <c r="L148" s="8" t="s">
        <v>597</v>
      </c>
    </row>
    <row r="149" spans="1:12" x14ac:dyDescent="0.35">
      <c r="A149" s="8" t="s">
        <v>241</v>
      </c>
      <c r="B149" s="8" t="s">
        <v>703</v>
      </c>
      <c r="C149" s="8" t="s">
        <v>704</v>
      </c>
      <c r="D149" s="8" t="s">
        <v>704</v>
      </c>
      <c r="E149" s="8" t="s">
        <v>705</v>
      </c>
      <c r="F149" s="141">
        <v>0.14186388888900237</v>
      </c>
      <c r="G149" s="141"/>
      <c r="H149" s="141"/>
      <c r="I149" s="8" t="s">
        <v>106</v>
      </c>
      <c r="J149" s="8" t="s">
        <v>264</v>
      </c>
      <c r="K149" s="8">
        <v>2022</v>
      </c>
      <c r="L149" s="8" t="s">
        <v>597</v>
      </c>
    </row>
    <row r="150" spans="1:12" x14ac:dyDescent="0.35">
      <c r="A150" s="8" t="s">
        <v>241</v>
      </c>
      <c r="B150" s="8" t="s">
        <v>706</v>
      </c>
      <c r="C150" s="8" t="s">
        <v>707</v>
      </c>
      <c r="D150" s="8" t="s">
        <v>708</v>
      </c>
      <c r="E150" s="8" t="s">
        <v>709</v>
      </c>
      <c r="F150" s="141">
        <v>7.1517999999999994E-4</v>
      </c>
      <c r="G150" s="141"/>
      <c r="H150" s="141"/>
      <c r="I150" s="8" t="s">
        <v>42</v>
      </c>
      <c r="J150" s="8" t="s">
        <v>264</v>
      </c>
      <c r="K150" s="8">
        <v>2022</v>
      </c>
      <c r="L150" s="8" t="s">
        <v>597</v>
      </c>
    </row>
    <row r="151" spans="1:12" x14ac:dyDescent="0.35">
      <c r="A151" s="8" t="s">
        <v>241</v>
      </c>
      <c r="B151" s="8" t="s">
        <v>710</v>
      </c>
      <c r="C151" s="8" t="s">
        <v>711</v>
      </c>
      <c r="D151" s="8" t="s">
        <v>712</v>
      </c>
      <c r="E151" s="8" t="s">
        <v>713</v>
      </c>
      <c r="F151" s="141">
        <v>0.71517999999999993</v>
      </c>
      <c r="G151" s="141"/>
      <c r="H151" s="141"/>
      <c r="I151" s="8" t="s">
        <v>43</v>
      </c>
      <c r="J151" s="8" t="s">
        <v>264</v>
      </c>
      <c r="K151" s="8">
        <v>2022</v>
      </c>
      <c r="L151" s="8" t="s">
        <v>597</v>
      </c>
    </row>
    <row r="152" spans="1:12" x14ac:dyDescent="0.35">
      <c r="A152" s="8" t="s">
        <v>241</v>
      </c>
      <c r="B152" s="8" t="s">
        <v>714</v>
      </c>
      <c r="C152" s="8" t="s">
        <v>715</v>
      </c>
      <c r="D152" s="8" t="s">
        <v>716</v>
      </c>
      <c r="E152" s="8" t="s">
        <v>717</v>
      </c>
      <c r="F152" s="141">
        <v>715.18</v>
      </c>
      <c r="G152" s="141"/>
      <c r="H152" s="141"/>
      <c r="I152" s="8" t="s">
        <v>46</v>
      </c>
      <c r="J152" s="8" t="s">
        <v>264</v>
      </c>
      <c r="K152" s="8">
        <v>2022</v>
      </c>
      <c r="L152" s="8" t="s">
        <v>597</v>
      </c>
    </row>
    <row r="153" spans="1:12" x14ac:dyDescent="0.35">
      <c r="A153" s="8" t="s">
        <v>241</v>
      </c>
      <c r="B153" s="8" t="s">
        <v>718</v>
      </c>
      <c r="C153" s="8" t="s">
        <v>719</v>
      </c>
      <c r="D153" s="8" t="s">
        <v>720</v>
      </c>
      <c r="E153" s="8" t="s">
        <v>721</v>
      </c>
      <c r="F153" s="141">
        <v>0.19865554859999998</v>
      </c>
      <c r="G153" s="141"/>
      <c r="H153" s="141"/>
      <c r="I153" s="8" t="s">
        <v>106</v>
      </c>
      <c r="J153" s="8" t="s">
        <v>264</v>
      </c>
      <c r="K153" s="8">
        <v>2022</v>
      </c>
      <c r="L153" s="8" t="s">
        <v>597</v>
      </c>
    </row>
    <row r="154" spans="1:12" x14ac:dyDescent="0.35">
      <c r="A154" s="8" t="s">
        <v>241</v>
      </c>
      <c r="B154" s="8" t="s">
        <v>722</v>
      </c>
      <c r="C154" s="8" t="s">
        <v>723</v>
      </c>
      <c r="D154" s="8" t="s">
        <v>723</v>
      </c>
      <c r="E154" s="8" t="s">
        <v>724</v>
      </c>
      <c r="F154" s="141">
        <v>4.6635999999999997E-4</v>
      </c>
      <c r="G154" s="141"/>
      <c r="H154" s="141"/>
      <c r="I154" s="8" t="s">
        <v>42</v>
      </c>
      <c r="J154" s="8" t="s">
        <v>264</v>
      </c>
      <c r="K154" s="8">
        <v>2022</v>
      </c>
      <c r="L154" s="8" t="s">
        <v>597</v>
      </c>
    </row>
    <row r="155" spans="1:12" x14ac:dyDescent="0.35">
      <c r="A155" s="8" t="s">
        <v>241</v>
      </c>
      <c r="B155" s="8" t="s">
        <v>725</v>
      </c>
      <c r="C155" s="8" t="s">
        <v>726</v>
      </c>
      <c r="D155" s="8" t="s">
        <v>726</v>
      </c>
      <c r="E155" s="8" t="s">
        <v>727</v>
      </c>
      <c r="F155" s="141">
        <v>0.46636</v>
      </c>
      <c r="G155" s="141"/>
      <c r="H155" s="141"/>
      <c r="I155" s="8" t="s">
        <v>43</v>
      </c>
      <c r="J155" s="8" t="s">
        <v>264</v>
      </c>
      <c r="K155" s="8">
        <v>2022</v>
      </c>
      <c r="L155" s="8" t="s">
        <v>597</v>
      </c>
    </row>
    <row r="156" spans="1:12" x14ac:dyDescent="0.35">
      <c r="A156" s="8" t="s">
        <v>241</v>
      </c>
      <c r="B156" s="8" t="s">
        <v>728</v>
      </c>
      <c r="C156" s="8" t="s">
        <v>729</v>
      </c>
      <c r="D156" s="8" t="s">
        <v>729</v>
      </c>
      <c r="E156" s="8" t="s">
        <v>730</v>
      </c>
      <c r="F156" s="141">
        <v>466.36</v>
      </c>
      <c r="G156" s="141"/>
      <c r="H156" s="141"/>
      <c r="I156" s="8" t="s">
        <v>46</v>
      </c>
      <c r="J156" s="8" t="s">
        <v>264</v>
      </c>
      <c r="K156" s="8">
        <v>2022</v>
      </c>
      <c r="L156" s="8" t="s">
        <v>597</v>
      </c>
    </row>
    <row r="157" spans="1:12" x14ac:dyDescent="0.35">
      <c r="A157" s="8" t="s">
        <v>241</v>
      </c>
      <c r="B157" s="8" t="s">
        <v>731</v>
      </c>
      <c r="C157" s="8" t="s">
        <v>732</v>
      </c>
      <c r="D157" s="8" t="s">
        <v>732</v>
      </c>
      <c r="E157" s="8" t="s">
        <v>733</v>
      </c>
      <c r="F157" s="141">
        <v>0.12954081719999999</v>
      </c>
      <c r="G157" s="141"/>
      <c r="H157" s="141"/>
      <c r="I157" s="8" t="s">
        <v>106</v>
      </c>
      <c r="J157" s="8" t="s">
        <v>264</v>
      </c>
      <c r="K157" s="8">
        <v>2022</v>
      </c>
      <c r="L157" s="8" t="s">
        <v>597</v>
      </c>
    </row>
    <row r="158" spans="1:12" x14ac:dyDescent="0.35">
      <c r="A158" s="8" t="s">
        <v>241</v>
      </c>
      <c r="B158" s="8" t="s">
        <v>734</v>
      </c>
      <c r="C158" s="8" t="s">
        <v>735</v>
      </c>
      <c r="D158" s="8" t="s">
        <v>735</v>
      </c>
      <c r="E158" s="8" t="s">
        <v>736</v>
      </c>
      <c r="F158" s="141">
        <v>5.1071000000000005E-4</v>
      </c>
      <c r="G158" s="141"/>
      <c r="H158" s="141"/>
      <c r="I158" s="8" t="s">
        <v>42</v>
      </c>
      <c r="J158" s="8" t="s">
        <v>264</v>
      </c>
      <c r="K158" s="8">
        <v>2023</v>
      </c>
      <c r="L158" s="8" t="s">
        <v>597</v>
      </c>
    </row>
    <row r="159" spans="1:12" x14ac:dyDescent="0.35">
      <c r="A159" s="8" t="s">
        <v>241</v>
      </c>
      <c r="B159" s="8" t="s">
        <v>737</v>
      </c>
      <c r="C159" s="8" t="s">
        <v>738</v>
      </c>
      <c r="D159" s="8" t="s">
        <v>738</v>
      </c>
      <c r="E159" s="8" t="s">
        <v>739</v>
      </c>
      <c r="F159" s="141">
        <v>0.51071</v>
      </c>
      <c r="G159" s="141"/>
      <c r="H159" s="141"/>
      <c r="I159" s="8" t="s">
        <v>43</v>
      </c>
      <c r="J159" s="8" t="s">
        <v>264</v>
      </c>
      <c r="K159" s="8">
        <v>2023</v>
      </c>
      <c r="L159" s="8" t="s">
        <v>597</v>
      </c>
    </row>
    <row r="160" spans="1:12" x14ac:dyDescent="0.35">
      <c r="A160" s="8" t="s">
        <v>241</v>
      </c>
      <c r="B160" s="8" t="s">
        <v>740</v>
      </c>
      <c r="C160" s="8" t="s">
        <v>741</v>
      </c>
      <c r="D160" s="8" t="s">
        <v>741</v>
      </c>
      <c r="E160" s="8" t="s">
        <v>742</v>
      </c>
      <c r="F160" s="141">
        <v>510.71</v>
      </c>
      <c r="G160" s="141"/>
      <c r="H160" s="141"/>
      <c r="I160" s="8" t="s">
        <v>46</v>
      </c>
      <c r="J160" s="8" t="s">
        <v>264</v>
      </c>
      <c r="K160" s="8">
        <v>2023</v>
      </c>
      <c r="L160" s="8" t="s">
        <v>597</v>
      </c>
    </row>
    <row r="161" spans="1:12" x14ac:dyDescent="0.35">
      <c r="A161" s="8" t="s">
        <v>241</v>
      </c>
      <c r="B161" s="8" t="s">
        <v>743</v>
      </c>
      <c r="C161" s="8" t="s">
        <v>744</v>
      </c>
      <c r="D161" s="8" t="s">
        <v>744</v>
      </c>
      <c r="E161" s="8" t="s">
        <v>745</v>
      </c>
      <c r="F161" s="141">
        <v>0.14186388888900237</v>
      </c>
      <c r="G161" s="141"/>
      <c r="H161" s="141"/>
      <c r="I161" s="8" t="s">
        <v>106</v>
      </c>
      <c r="J161" s="8" t="s">
        <v>264</v>
      </c>
      <c r="K161" s="8">
        <v>2023</v>
      </c>
      <c r="L161" s="8" t="s">
        <v>597</v>
      </c>
    </row>
    <row r="162" spans="1:12" x14ac:dyDescent="0.35">
      <c r="A162" s="8" t="s">
        <v>241</v>
      </c>
      <c r="B162" s="8" t="s">
        <v>746</v>
      </c>
      <c r="C162" s="8" t="s">
        <v>747</v>
      </c>
      <c r="D162" s="8" t="s">
        <v>748</v>
      </c>
      <c r="E162" s="8" t="s">
        <v>749</v>
      </c>
      <c r="F162" s="141">
        <v>7.1517999999999994E-4</v>
      </c>
      <c r="G162" s="141"/>
      <c r="H162" s="141"/>
      <c r="I162" s="8" t="s">
        <v>42</v>
      </c>
      <c r="J162" s="8" t="s">
        <v>264</v>
      </c>
      <c r="K162" s="8">
        <v>2023</v>
      </c>
      <c r="L162" s="8" t="s">
        <v>597</v>
      </c>
    </row>
    <row r="163" spans="1:12" x14ac:dyDescent="0.35">
      <c r="A163" s="8" t="s">
        <v>241</v>
      </c>
      <c r="B163" s="8" t="s">
        <v>750</v>
      </c>
      <c r="C163" s="8" t="s">
        <v>751</v>
      </c>
      <c r="D163" s="8" t="s">
        <v>752</v>
      </c>
      <c r="E163" s="8" t="s">
        <v>753</v>
      </c>
      <c r="F163" s="141">
        <v>0.71517999999999993</v>
      </c>
      <c r="G163" s="141"/>
      <c r="H163" s="141"/>
      <c r="I163" s="8" t="s">
        <v>43</v>
      </c>
      <c r="J163" s="8" t="s">
        <v>264</v>
      </c>
      <c r="K163" s="8">
        <v>2023</v>
      </c>
      <c r="L163" s="8" t="s">
        <v>597</v>
      </c>
    </row>
    <row r="164" spans="1:12" x14ac:dyDescent="0.35">
      <c r="A164" s="8" t="s">
        <v>241</v>
      </c>
      <c r="B164" s="8" t="s">
        <v>754</v>
      </c>
      <c r="C164" s="8" t="s">
        <v>755</v>
      </c>
      <c r="D164" s="8" t="s">
        <v>756</v>
      </c>
      <c r="E164" s="8" t="s">
        <v>757</v>
      </c>
      <c r="F164" s="141">
        <v>715.18</v>
      </c>
      <c r="G164" s="141"/>
      <c r="H164" s="141"/>
      <c r="I164" s="8" t="s">
        <v>46</v>
      </c>
      <c r="J164" s="8" t="s">
        <v>264</v>
      </c>
      <c r="K164" s="8">
        <v>2023</v>
      </c>
      <c r="L164" s="8" t="s">
        <v>597</v>
      </c>
    </row>
    <row r="165" spans="1:12" x14ac:dyDescent="0.35">
      <c r="A165" s="8" t="s">
        <v>241</v>
      </c>
      <c r="B165" s="8" t="s">
        <v>758</v>
      </c>
      <c r="C165" s="8" t="s">
        <v>759</v>
      </c>
      <c r="D165" s="8" t="s">
        <v>760</v>
      </c>
      <c r="E165" s="8" t="s">
        <v>761</v>
      </c>
      <c r="F165" s="141">
        <v>0.19865554859999998</v>
      </c>
      <c r="G165" s="141"/>
      <c r="H165" s="141"/>
      <c r="I165" s="8" t="s">
        <v>106</v>
      </c>
      <c r="J165" s="8" t="s">
        <v>264</v>
      </c>
      <c r="K165" s="8">
        <v>2023</v>
      </c>
      <c r="L165" s="8" t="s">
        <v>597</v>
      </c>
    </row>
    <row r="166" spans="1:12" x14ac:dyDescent="0.35">
      <c r="A166" s="8" t="s">
        <v>241</v>
      </c>
      <c r="B166" s="8" t="s">
        <v>762</v>
      </c>
      <c r="C166" s="8" t="s">
        <v>763</v>
      </c>
      <c r="D166" s="8" t="s">
        <v>763</v>
      </c>
      <c r="E166" s="8" t="s">
        <v>764</v>
      </c>
      <c r="F166" s="141">
        <v>4.6635999999999997E-4</v>
      </c>
      <c r="G166" s="141"/>
      <c r="H166" s="141"/>
      <c r="I166" s="8" t="s">
        <v>42</v>
      </c>
      <c r="J166" s="8" t="s">
        <v>264</v>
      </c>
      <c r="K166" s="8">
        <v>2023</v>
      </c>
      <c r="L166" s="8" t="s">
        <v>597</v>
      </c>
    </row>
    <row r="167" spans="1:12" x14ac:dyDescent="0.35">
      <c r="A167" s="8" t="s">
        <v>241</v>
      </c>
      <c r="B167" s="8" t="s">
        <v>765</v>
      </c>
      <c r="C167" s="8" t="s">
        <v>766</v>
      </c>
      <c r="D167" s="8" t="s">
        <v>766</v>
      </c>
      <c r="E167" s="8" t="s">
        <v>767</v>
      </c>
      <c r="F167" s="141">
        <v>0.46636</v>
      </c>
      <c r="G167" s="141"/>
      <c r="H167" s="141"/>
      <c r="I167" s="8" t="s">
        <v>43</v>
      </c>
      <c r="J167" s="8" t="s">
        <v>264</v>
      </c>
      <c r="K167" s="8">
        <v>2023</v>
      </c>
      <c r="L167" s="8" t="s">
        <v>597</v>
      </c>
    </row>
    <row r="168" spans="1:12" x14ac:dyDescent="0.35">
      <c r="A168" s="8" t="s">
        <v>241</v>
      </c>
      <c r="B168" s="8" t="s">
        <v>768</v>
      </c>
      <c r="C168" s="8" t="s">
        <v>769</v>
      </c>
      <c r="D168" s="8" t="s">
        <v>769</v>
      </c>
      <c r="E168" s="8" t="s">
        <v>770</v>
      </c>
      <c r="F168" s="141">
        <v>466.36</v>
      </c>
      <c r="G168" s="141"/>
      <c r="H168" s="141"/>
      <c r="I168" s="8" t="s">
        <v>46</v>
      </c>
      <c r="J168" s="8" t="s">
        <v>264</v>
      </c>
      <c r="K168" s="8">
        <v>2023</v>
      </c>
      <c r="L168" s="8" t="s">
        <v>597</v>
      </c>
    </row>
    <row r="169" spans="1:12" x14ac:dyDescent="0.35">
      <c r="A169" s="8" t="s">
        <v>241</v>
      </c>
      <c r="B169" s="8" t="s">
        <v>771</v>
      </c>
      <c r="C169" s="8" t="s">
        <v>772</v>
      </c>
      <c r="D169" s="8" t="s">
        <v>772</v>
      </c>
      <c r="E169" s="8" t="s">
        <v>773</v>
      </c>
      <c r="F169" s="141">
        <v>0.12954081719999999</v>
      </c>
      <c r="G169" s="141"/>
      <c r="H169" s="141"/>
      <c r="I169" s="8" t="s">
        <v>106</v>
      </c>
      <c r="J169" s="8" t="s">
        <v>264</v>
      </c>
      <c r="K169" s="8">
        <v>2023</v>
      </c>
      <c r="L169" s="8" t="s">
        <v>597</v>
      </c>
    </row>
    <row r="170" spans="1:12" x14ac:dyDescent="0.35">
      <c r="A170" s="8" t="s">
        <v>322</v>
      </c>
      <c r="B170" s="8" t="s">
        <v>515</v>
      </c>
      <c r="C170" s="8" t="s">
        <v>798</v>
      </c>
      <c r="D170" s="8" t="s">
        <v>799</v>
      </c>
      <c r="E170" s="8" t="s">
        <v>800</v>
      </c>
      <c r="F170" s="141">
        <v>4.3847999999999994</v>
      </c>
      <c r="G170" s="141">
        <v>0.15659999999999999</v>
      </c>
      <c r="H170" s="141"/>
      <c r="I170" s="8" t="s">
        <v>319</v>
      </c>
      <c r="J170" s="8" t="s">
        <v>264</v>
      </c>
      <c r="K170" s="8">
        <v>2022</v>
      </c>
      <c r="L170" s="8" t="s">
        <v>596</v>
      </c>
    </row>
    <row r="171" spans="1:12" x14ac:dyDescent="0.35">
      <c r="A171" s="8" t="s">
        <v>322</v>
      </c>
      <c r="B171" s="8" t="s">
        <v>516</v>
      </c>
      <c r="C171" s="8" t="s">
        <v>801</v>
      </c>
      <c r="D171" s="8" t="s">
        <v>802</v>
      </c>
      <c r="E171" s="8" t="s">
        <v>803</v>
      </c>
      <c r="F171" s="141">
        <v>2.4497200000000001</v>
      </c>
      <c r="G171" s="141">
        <v>8.7489999999999998E-2</v>
      </c>
      <c r="H171" s="141"/>
      <c r="I171" s="8" t="s">
        <v>319</v>
      </c>
      <c r="J171" s="8" t="s">
        <v>264</v>
      </c>
      <c r="K171" s="8">
        <v>2022</v>
      </c>
      <c r="L171" s="8" t="s">
        <v>596</v>
      </c>
    </row>
    <row r="172" spans="1:12" x14ac:dyDescent="0.35">
      <c r="A172" s="8" t="s">
        <v>322</v>
      </c>
      <c r="B172" s="8" t="s">
        <v>517</v>
      </c>
      <c r="C172" s="8" t="s">
        <v>804</v>
      </c>
      <c r="D172" s="8" t="s">
        <v>805</v>
      </c>
      <c r="E172" s="8" t="s">
        <v>806</v>
      </c>
      <c r="F172" s="141">
        <v>0.224</v>
      </c>
      <c r="G172" s="141">
        <v>8.0000000000000002E-3</v>
      </c>
      <c r="H172" s="141"/>
      <c r="I172" s="8" t="s">
        <v>319</v>
      </c>
      <c r="J172" s="8" t="s">
        <v>264</v>
      </c>
      <c r="K172" s="8">
        <v>2022</v>
      </c>
      <c r="L172" s="8" t="s">
        <v>596</v>
      </c>
    </row>
    <row r="173" spans="1:12" x14ac:dyDescent="0.35">
      <c r="A173" s="8" t="s">
        <v>322</v>
      </c>
      <c r="B173" s="8" t="s">
        <v>518</v>
      </c>
      <c r="C173" s="8" t="s">
        <v>807</v>
      </c>
      <c r="D173" s="8" t="s">
        <v>808</v>
      </c>
      <c r="E173" s="8" t="s">
        <v>809</v>
      </c>
      <c r="F173" s="141">
        <v>3.1360000000000006E-2</v>
      </c>
      <c r="G173" s="141">
        <v>1.1200000000000001E-3</v>
      </c>
      <c r="H173" s="141"/>
      <c r="I173" s="8" t="s">
        <v>319</v>
      </c>
      <c r="J173" s="8" t="s">
        <v>264</v>
      </c>
      <c r="K173" s="8">
        <v>2022</v>
      </c>
      <c r="L173" s="8" t="s">
        <v>596</v>
      </c>
    </row>
    <row r="174" spans="1:12" x14ac:dyDescent="0.35">
      <c r="A174" s="8" t="s">
        <v>322</v>
      </c>
      <c r="B174" s="8" t="s">
        <v>519</v>
      </c>
      <c r="C174" s="8" t="s">
        <v>810</v>
      </c>
      <c r="D174" s="8" t="s">
        <v>811</v>
      </c>
      <c r="E174" s="8" t="s">
        <v>812</v>
      </c>
      <c r="F174" s="141">
        <v>0.14000000000000001</v>
      </c>
      <c r="G174" s="141">
        <v>5.0000000000000001E-3</v>
      </c>
      <c r="H174" s="141"/>
      <c r="I174" s="8" t="s">
        <v>319</v>
      </c>
      <c r="J174" s="8" t="s">
        <v>264</v>
      </c>
      <c r="K174" s="8">
        <v>2022</v>
      </c>
      <c r="L174" s="8" t="s">
        <v>596</v>
      </c>
    </row>
    <row r="175" spans="1:12" x14ac:dyDescent="0.35">
      <c r="A175" s="8" t="s">
        <v>322</v>
      </c>
      <c r="B175" s="8" t="s">
        <v>520</v>
      </c>
      <c r="C175" s="8" t="s">
        <v>813</v>
      </c>
      <c r="D175" s="8" t="s">
        <v>814</v>
      </c>
      <c r="E175" s="8" t="s">
        <v>815</v>
      </c>
      <c r="F175" s="141">
        <v>0.504</v>
      </c>
      <c r="G175" s="141">
        <v>1.7999999999999999E-2</v>
      </c>
      <c r="H175" s="141"/>
      <c r="I175" s="8" t="s">
        <v>319</v>
      </c>
      <c r="J175" s="8" t="s">
        <v>264</v>
      </c>
      <c r="K175" s="8">
        <v>2022</v>
      </c>
      <c r="L175" s="8" t="s">
        <v>596</v>
      </c>
    </row>
    <row r="176" spans="1:12" x14ac:dyDescent="0.35">
      <c r="A176" s="8" t="s">
        <v>322</v>
      </c>
      <c r="B176" s="8" t="s">
        <v>521</v>
      </c>
      <c r="C176" s="8" t="s">
        <v>816</v>
      </c>
      <c r="D176" s="8" t="s">
        <v>817</v>
      </c>
      <c r="E176" s="8" t="s">
        <v>818</v>
      </c>
      <c r="F176" s="141">
        <v>0</v>
      </c>
      <c r="G176" s="141">
        <v>0</v>
      </c>
      <c r="H176" s="141"/>
      <c r="I176" s="8" t="s">
        <v>319</v>
      </c>
      <c r="J176" s="8" t="s">
        <v>264</v>
      </c>
      <c r="K176" s="8">
        <v>2022</v>
      </c>
      <c r="L176" s="8" t="s">
        <v>596</v>
      </c>
    </row>
    <row r="177" spans="1:12" x14ac:dyDescent="0.35">
      <c r="A177" s="8" t="s">
        <v>322</v>
      </c>
      <c r="B177" s="8" t="s">
        <v>522</v>
      </c>
      <c r="C177" s="8" t="s">
        <v>819</v>
      </c>
      <c r="D177" s="8" t="s">
        <v>820</v>
      </c>
      <c r="E177" s="8" t="s">
        <v>821</v>
      </c>
      <c r="F177" s="141">
        <v>1.6519999999999996E-2</v>
      </c>
      <c r="G177" s="141">
        <v>5.8999999999999992E-4</v>
      </c>
      <c r="H177" s="141"/>
      <c r="I177" s="8" t="s">
        <v>319</v>
      </c>
      <c r="J177" s="8" t="s">
        <v>264</v>
      </c>
      <c r="K177" s="8">
        <v>2022</v>
      </c>
      <c r="L177" s="8" t="s">
        <v>596</v>
      </c>
    </row>
    <row r="178" spans="1:12" x14ac:dyDescent="0.35">
      <c r="A178" s="8" t="s">
        <v>322</v>
      </c>
      <c r="B178" s="8" t="s">
        <v>534</v>
      </c>
      <c r="C178" s="8" t="s">
        <v>855</v>
      </c>
      <c r="D178" s="8" t="s">
        <v>855</v>
      </c>
      <c r="E178" s="8" t="s">
        <v>856</v>
      </c>
      <c r="F178" s="141">
        <v>3.7038400000000005</v>
      </c>
      <c r="G178" s="141">
        <v>0.13228000000000001</v>
      </c>
      <c r="H178" s="141"/>
      <c r="I178" s="8" t="s">
        <v>319</v>
      </c>
      <c r="J178" s="8" t="s">
        <v>264</v>
      </c>
      <c r="K178" s="8">
        <v>2022</v>
      </c>
      <c r="L178" s="8" t="s">
        <v>596</v>
      </c>
    </row>
    <row r="179" spans="1:12" x14ac:dyDescent="0.35">
      <c r="A179" s="8" t="s">
        <v>322</v>
      </c>
      <c r="B179" s="8" t="s">
        <v>535</v>
      </c>
      <c r="C179" s="8" t="s">
        <v>857</v>
      </c>
      <c r="D179" s="8" t="s">
        <v>857</v>
      </c>
      <c r="E179" s="8" t="s">
        <v>858</v>
      </c>
      <c r="F179" s="141">
        <v>1.9275199999999999</v>
      </c>
      <c r="G179" s="141">
        <v>6.8839999999999998E-2</v>
      </c>
      <c r="H179" s="141"/>
      <c r="I179" s="8" t="s">
        <v>319</v>
      </c>
      <c r="J179" s="8" t="s">
        <v>264</v>
      </c>
      <c r="K179" s="8">
        <v>2022</v>
      </c>
      <c r="L179" s="8" t="s">
        <v>596</v>
      </c>
    </row>
    <row r="180" spans="1:12" x14ac:dyDescent="0.35">
      <c r="A180" s="8" t="s">
        <v>322</v>
      </c>
      <c r="B180" s="8" t="s">
        <v>536</v>
      </c>
      <c r="C180" s="8" t="s">
        <v>859</v>
      </c>
      <c r="D180" s="8" t="s">
        <v>859</v>
      </c>
      <c r="E180" s="8" t="s">
        <v>860</v>
      </c>
      <c r="F180" s="141">
        <v>0.28392000000000001</v>
      </c>
      <c r="G180" s="141">
        <v>1.014E-2</v>
      </c>
      <c r="H180" s="141"/>
      <c r="I180" s="8" t="s">
        <v>319</v>
      </c>
      <c r="J180" s="8" t="s">
        <v>264</v>
      </c>
      <c r="K180" s="8">
        <v>2022</v>
      </c>
      <c r="L180" s="8" t="s">
        <v>596</v>
      </c>
    </row>
    <row r="181" spans="1:12" x14ac:dyDescent="0.35">
      <c r="A181" s="8" t="s">
        <v>322</v>
      </c>
      <c r="B181" s="8" t="s">
        <v>537</v>
      </c>
      <c r="C181" s="8" t="s">
        <v>861</v>
      </c>
      <c r="D181" s="8" t="s">
        <v>861</v>
      </c>
      <c r="E181" s="8" t="s">
        <v>862</v>
      </c>
      <c r="F181" s="141">
        <v>3.9199999999999999E-2</v>
      </c>
      <c r="G181" s="141">
        <v>1.4E-3</v>
      </c>
      <c r="H181" s="141"/>
      <c r="I181" s="8" t="s">
        <v>319</v>
      </c>
      <c r="J181" s="8" t="s">
        <v>264</v>
      </c>
      <c r="K181" s="8">
        <v>2022</v>
      </c>
      <c r="L181" s="8" t="s">
        <v>596</v>
      </c>
    </row>
    <row r="182" spans="1:12" x14ac:dyDescent="0.35">
      <c r="A182" s="8" t="s">
        <v>322</v>
      </c>
      <c r="B182" s="8" t="s">
        <v>538</v>
      </c>
      <c r="C182" s="8" t="s">
        <v>863</v>
      </c>
      <c r="D182" s="8" t="s">
        <v>863</v>
      </c>
      <c r="E182" s="8" t="s">
        <v>864</v>
      </c>
      <c r="F182" s="141">
        <v>0.14000000000000001</v>
      </c>
      <c r="G182" s="141">
        <v>5.0000000000000001E-3</v>
      </c>
      <c r="H182" s="141"/>
      <c r="I182" s="8" t="s">
        <v>319</v>
      </c>
      <c r="J182" s="8" t="s">
        <v>264</v>
      </c>
      <c r="K182" s="8">
        <v>2022</v>
      </c>
      <c r="L182" s="8" t="s">
        <v>596</v>
      </c>
    </row>
    <row r="183" spans="1:12" x14ac:dyDescent="0.35">
      <c r="A183" s="8" t="s">
        <v>322</v>
      </c>
      <c r="B183" s="8" t="s">
        <v>539</v>
      </c>
      <c r="C183" s="8" t="s">
        <v>865</v>
      </c>
      <c r="D183" s="8" t="s">
        <v>865</v>
      </c>
      <c r="E183" s="8" t="s">
        <v>866</v>
      </c>
      <c r="F183" s="141">
        <v>0.504</v>
      </c>
      <c r="G183" s="141">
        <v>1.7999999999999999E-2</v>
      </c>
      <c r="H183" s="141"/>
      <c r="I183" s="8" t="s">
        <v>319</v>
      </c>
      <c r="J183" s="8" t="s">
        <v>264</v>
      </c>
      <c r="K183" s="8">
        <v>2022</v>
      </c>
      <c r="L183" s="8" t="s">
        <v>596</v>
      </c>
    </row>
    <row r="184" spans="1:12" x14ac:dyDescent="0.35">
      <c r="A184" s="8" t="s">
        <v>322</v>
      </c>
      <c r="B184" s="8" t="s">
        <v>540</v>
      </c>
      <c r="C184" s="8" t="s">
        <v>867</v>
      </c>
      <c r="D184" s="8" t="s">
        <v>867</v>
      </c>
      <c r="E184" s="8" t="s">
        <v>868</v>
      </c>
      <c r="F184" s="141">
        <v>0</v>
      </c>
      <c r="G184" s="141">
        <v>0</v>
      </c>
      <c r="H184" s="141"/>
      <c r="I184" s="8" t="s">
        <v>319</v>
      </c>
      <c r="J184" s="8" t="s">
        <v>264</v>
      </c>
      <c r="K184" s="8">
        <v>2022</v>
      </c>
      <c r="L184" s="8" t="s">
        <v>596</v>
      </c>
    </row>
    <row r="185" spans="1:12" x14ac:dyDescent="0.35">
      <c r="A185" s="8" t="s">
        <v>322</v>
      </c>
      <c r="B185" s="8" t="s">
        <v>541</v>
      </c>
      <c r="C185" s="8" t="s">
        <v>869</v>
      </c>
      <c r="D185" s="8" t="s">
        <v>869</v>
      </c>
      <c r="E185" s="8" t="s">
        <v>870</v>
      </c>
      <c r="F185" s="141">
        <v>1.6519999999999996E-2</v>
      </c>
      <c r="G185" s="141">
        <v>5.8999999999999992E-4</v>
      </c>
      <c r="H185" s="141"/>
      <c r="I185" s="8" t="s">
        <v>319</v>
      </c>
      <c r="J185" s="8" t="s">
        <v>264</v>
      </c>
      <c r="K185" s="8">
        <v>2022</v>
      </c>
      <c r="L185" s="8" t="s">
        <v>596</v>
      </c>
    </row>
    <row r="186" spans="1:12" x14ac:dyDescent="0.35">
      <c r="A186" s="8" t="s">
        <v>322</v>
      </c>
      <c r="B186" s="8" t="s">
        <v>553</v>
      </c>
      <c r="C186" s="8" t="s">
        <v>893</v>
      </c>
      <c r="D186" s="8" t="s">
        <v>893</v>
      </c>
      <c r="E186" s="8" t="s">
        <v>894</v>
      </c>
      <c r="F186" s="141">
        <v>4.2341600000000001</v>
      </c>
      <c r="G186" s="141">
        <v>0.15121999999999999</v>
      </c>
      <c r="H186" s="141"/>
      <c r="I186" s="8" t="s">
        <v>319</v>
      </c>
      <c r="J186" s="8" t="s">
        <v>264</v>
      </c>
      <c r="K186" s="8">
        <v>2022</v>
      </c>
      <c r="L186" s="8" t="s">
        <v>596</v>
      </c>
    </row>
    <row r="187" spans="1:12" x14ac:dyDescent="0.35">
      <c r="A187" s="8" t="s">
        <v>322</v>
      </c>
      <c r="B187" s="8" t="s">
        <v>554</v>
      </c>
      <c r="C187" s="8" t="s">
        <v>895</v>
      </c>
      <c r="D187" s="8" t="s">
        <v>895</v>
      </c>
      <c r="E187" s="8" t="s">
        <v>896</v>
      </c>
      <c r="F187" s="141">
        <v>2.32708</v>
      </c>
      <c r="G187" s="141">
        <v>8.3110000000000003E-2</v>
      </c>
      <c r="H187" s="141"/>
      <c r="I187" s="8" t="s">
        <v>319</v>
      </c>
      <c r="J187" s="8" t="s">
        <v>264</v>
      </c>
      <c r="K187" s="8">
        <v>2022</v>
      </c>
      <c r="L187" s="8" t="s">
        <v>596</v>
      </c>
    </row>
    <row r="188" spans="1:12" x14ac:dyDescent="0.35">
      <c r="A188" s="8" t="s">
        <v>322</v>
      </c>
      <c r="B188" s="8" t="s">
        <v>555</v>
      </c>
      <c r="C188" s="8" t="s">
        <v>897</v>
      </c>
      <c r="D188" s="8" t="s">
        <v>897</v>
      </c>
      <c r="E188" s="8" t="s">
        <v>898</v>
      </c>
      <c r="F188" s="141">
        <v>0.224</v>
      </c>
      <c r="G188" s="141">
        <v>8.0000000000000002E-3</v>
      </c>
      <c r="H188" s="141"/>
      <c r="I188" s="8" t="s">
        <v>319</v>
      </c>
      <c r="J188" s="8" t="s">
        <v>264</v>
      </c>
      <c r="K188" s="8">
        <v>2022</v>
      </c>
      <c r="L188" s="8" t="s">
        <v>596</v>
      </c>
    </row>
    <row r="189" spans="1:12" x14ac:dyDescent="0.35">
      <c r="A189" s="8" t="s">
        <v>322</v>
      </c>
      <c r="B189" s="8" t="s">
        <v>556</v>
      </c>
      <c r="C189" s="8" t="s">
        <v>899</v>
      </c>
      <c r="D189" s="8" t="s">
        <v>899</v>
      </c>
      <c r="E189" s="8" t="s">
        <v>900</v>
      </c>
      <c r="F189" s="141">
        <v>4.2000000000000003E-2</v>
      </c>
      <c r="G189" s="141">
        <v>1.5E-3</v>
      </c>
      <c r="H189" s="141"/>
      <c r="I189" s="8" t="s">
        <v>319</v>
      </c>
      <c r="J189" s="8" t="s">
        <v>264</v>
      </c>
      <c r="K189" s="8">
        <v>2022</v>
      </c>
      <c r="L189" s="8" t="s">
        <v>596</v>
      </c>
    </row>
    <row r="190" spans="1:12" x14ac:dyDescent="0.35">
      <c r="A190" s="8" t="s">
        <v>322</v>
      </c>
      <c r="B190" s="8" t="s">
        <v>557</v>
      </c>
      <c r="C190" s="8" t="s">
        <v>901</v>
      </c>
      <c r="D190" s="8" t="s">
        <v>901</v>
      </c>
      <c r="E190" s="8" t="s">
        <v>902</v>
      </c>
      <c r="F190" s="141">
        <v>0.14000000000000001</v>
      </c>
      <c r="G190" s="141">
        <v>5.0000000000000001E-3</v>
      </c>
      <c r="H190" s="141"/>
      <c r="I190" s="8" t="s">
        <v>319</v>
      </c>
      <c r="J190" s="8" t="s">
        <v>264</v>
      </c>
      <c r="K190" s="8">
        <v>2022</v>
      </c>
      <c r="L190" s="8" t="s">
        <v>596</v>
      </c>
    </row>
    <row r="191" spans="1:12" x14ac:dyDescent="0.35">
      <c r="A191" s="8" t="s">
        <v>322</v>
      </c>
      <c r="B191" s="8" t="s">
        <v>558</v>
      </c>
      <c r="C191" s="8" t="s">
        <v>903</v>
      </c>
      <c r="D191" s="8" t="s">
        <v>903</v>
      </c>
      <c r="E191" s="8" t="s">
        <v>904</v>
      </c>
      <c r="F191" s="141">
        <v>0.504</v>
      </c>
      <c r="G191" s="141">
        <v>1.7999999999999999E-2</v>
      </c>
      <c r="H191" s="141"/>
      <c r="I191" s="8" t="s">
        <v>319</v>
      </c>
      <c r="J191" s="8" t="s">
        <v>264</v>
      </c>
      <c r="K191" s="8">
        <v>2022</v>
      </c>
      <c r="L191" s="8" t="s">
        <v>596</v>
      </c>
    </row>
    <row r="192" spans="1:12" x14ac:dyDescent="0.35">
      <c r="A192" s="8" t="s">
        <v>322</v>
      </c>
      <c r="B192" s="8" t="s">
        <v>559</v>
      </c>
      <c r="C192" s="8" t="s">
        <v>905</v>
      </c>
      <c r="D192" s="8" t="s">
        <v>905</v>
      </c>
      <c r="E192" s="8" t="s">
        <v>906</v>
      </c>
      <c r="F192" s="141">
        <v>0</v>
      </c>
      <c r="G192" s="141">
        <v>0</v>
      </c>
      <c r="H192" s="141"/>
      <c r="I192" s="8" t="s">
        <v>319</v>
      </c>
      <c r="J192" s="8" t="s">
        <v>264</v>
      </c>
      <c r="K192" s="8">
        <v>2022</v>
      </c>
      <c r="L192" s="8" t="s">
        <v>596</v>
      </c>
    </row>
    <row r="193" spans="1:12" x14ac:dyDescent="0.35">
      <c r="A193" s="8" t="s">
        <v>322</v>
      </c>
      <c r="B193" s="8" t="s">
        <v>560</v>
      </c>
      <c r="C193" s="8" t="s">
        <v>907</v>
      </c>
      <c r="D193" s="8" t="s">
        <v>907</v>
      </c>
      <c r="E193" s="8" t="s">
        <v>908</v>
      </c>
      <c r="F193" s="141">
        <v>1.6519999999999996E-2</v>
      </c>
      <c r="G193" s="141">
        <v>5.8999999999999992E-4</v>
      </c>
      <c r="H193" s="141"/>
      <c r="I193" s="8" t="s">
        <v>319</v>
      </c>
      <c r="J193" s="8" t="s">
        <v>264</v>
      </c>
      <c r="K193" s="8">
        <v>2022</v>
      </c>
      <c r="L193" s="8" t="s">
        <v>596</v>
      </c>
    </row>
    <row r="194" spans="1:12" x14ac:dyDescent="0.35">
      <c r="A194" s="8" t="s">
        <v>314</v>
      </c>
      <c r="B194" s="8" t="s">
        <v>1174</v>
      </c>
      <c r="C194" s="8" t="s">
        <v>1174</v>
      </c>
      <c r="D194" s="8" t="s">
        <v>1174</v>
      </c>
      <c r="E194" s="8" t="s">
        <v>1174</v>
      </c>
      <c r="F194" s="141">
        <v>8.406100000000001E-4</v>
      </c>
      <c r="G194" s="141"/>
      <c r="H194" s="141"/>
      <c r="I194" s="8" t="s">
        <v>287</v>
      </c>
      <c r="J194" s="8" t="s">
        <v>264</v>
      </c>
      <c r="K194" s="8">
        <v>2022</v>
      </c>
      <c r="L194" s="8" t="s">
        <v>289</v>
      </c>
    </row>
    <row r="195" spans="1:12" x14ac:dyDescent="0.35">
      <c r="A195" s="8" t="s">
        <v>288</v>
      </c>
      <c r="B195" s="8" t="s">
        <v>291</v>
      </c>
      <c r="C195" s="8" t="s">
        <v>291</v>
      </c>
      <c r="D195" s="8" t="s">
        <v>291</v>
      </c>
      <c r="E195" s="8" t="s">
        <v>291</v>
      </c>
      <c r="F195" s="141">
        <v>9.0339999999999985E-6</v>
      </c>
      <c r="G195" s="141"/>
      <c r="H195" s="141"/>
      <c r="I195" s="8" t="s">
        <v>290</v>
      </c>
      <c r="J195" s="8" t="s">
        <v>264</v>
      </c>
      <c r="K195" s="8">
        <v>2022</v>
      </c>
      <c r="L195" s="8" t="s">
        <v>289</v>
      </c>
    </row>
    <row r="196" spans="1:12" x14ac:dyDescent="0.35">
      <c r="A196" s="8" t="s">
        <v>293</v>
      </c>
      <c r="B196" s="8" t="s">
        <v>1182</v>
      </c>
      <c r="C196" s="8" t="s">
        <v>1182</v>
      </c>
      <c r="D196" s="8" t="s">
        <v>1182</v>
      </c>
      <c r="E196" s="8" t="s">
        <v>1182</v>
      </c>
      <c r="F196" s="141">
        <v>2.3799999999999998E-4</v>
      </c>
      <c r="G196" s="141"/>
      <c r="H196" s="141"/>
      <c r="I196" s="8" t="s">
        <v>86</v>
      </c>
      <c r="J196" s="8" t="s">
        <v>264</v>
      </c>
      <c r="K196" s="8">
        <v>2022</v>
      </c>
      <c r="L196" s="8" t="s">
        <v>600</v>
      </c>
    </row>
    <row r="197" spans="1:12" x14ac:dyDescent="0.35">
      <c r="A197" s="8" t="s">
        <v>293</v>
      </c>
      <c r="B197" s="8" t="s">
        <v>1041</v>
      </c>
      <c r="C197" s="8" t="s">
        <v>1041</v>
      </c>
      <c r="D197" s="8" t="s">
        <v>1041</v>
      </c>
      <c r="E197" s="8" t="s">
        <v>1041</v>
      </c>
      <c r="F197" s="141">
        <v>2.6000000000000003E-4</v>
      </c>
      <c r="G197" s="141"/>
      <c r="H197" s="141"/>
      <c r="I197" s="8" t="s">
        <v>42</v>
      </c>
      <c r="J197" s="8" t="s">
        <v>264</v>
      </c>
      <c r="K197" s="8">
        <v>2022</v>
      </c>
      <c r="L197" s="8" t="s">
        <v>289</v>
      </c>
    </row>
    <row r="198" spans="1:12" x14ac:dyDescent="0.35">
      <c r="A198" s="8" t="s">
        <v>293</v>
      </c>
      <c r="B198" s="8" t="s">
        <v>1004</v>
      </c>
      <c r="C198" s="8" t="s">
        <v>1004</v>
      </c>
      <c r="D198" s="8" t="s">
        <v>1004</v>
      </c>
      <c r="E198" s="8" t="s">
        <v>1004</v>
      </c>
      <c r="F198" s="141">
        <v>2.5400000000000002E-3</v>
      </c>
      <c r="G198" s="141"/>
      <c r="H198" s="141"/>
      <c r="I198" s="8" t="s">
        <v>292</v>
      </c>
      <c r="J198" s="8" t="s">
        <v>264</v>
      </c>
      <c r="K198" s="8">
        <v>2022</v>
      </c>
      <c r="L198" s="8" t="s">
        <v>289</v>
      </c>
    </row>
    <row r="199" spans="1:12" x14ac:dyDescent="0.35">
      <c r="A199" s="8" t="s">
        <v>293</v>
      </c>
      <c r="B199" s="8" t="s">
        <v>1005</v>
      </c>
      <c r="C199" s="8" t="s">
        <v>1005</v>
      </c>
      <c r="D199" s="8" t="s">
        <v>1005</v>
      </c>
      <c r="E199" s="8" t="s">
        <v>1005</v>
      </c>
      <c r="F199" s="141">
        <v>0.26</v>
      </c>
      <c r="G199" s="141"/>
      <c r="H199" s="141"/>
      <c r="I199" s="8" t="s">
        <v>43</v>
      </c>
      <c r="J199" s="8" t="s">
        <v>264</v>
      </c>
      <c r="K199" s="8">
        <v>2022</v>
      </c>
      <c r="L199" s="8" t="s">
        <v>296</v>
      </c>
    </row>
    <row r="200" spans="1:12" x14ac:dyDescent="0.35">
      <c r="A200" s="8" t="s">
        <v>293</v>
      </c>
      <c r="B200" s="8" t="s">
        <v>1388</v>
      </c>
      <c r="C200" s="8" t="s">
        <v>1388</v>
      </c>
      <c r="D200" s="8" t="s">
        <v>1388</v>
      </c>
      <c r="E200" s="8" t="s">
        <v>1388</v>
      </c>
      <c r="F200" s="141">
        <f>1000*0.26</f>
        <v>260</v>
      </c>
      <c r="G200" s="141"/>
      <c r="H200" s="141"/>
      <c r="I200" s="8" t="s">
        <v>46</v>
      </c>
      <c r="J200" s="8" t="s">
        <v>264</v>
      </c>
      <c r="K200" s="8">
        <v>2022</v>
      </c>
      <c r="L200" s="8" t="s">
        <v>296</v>
      </c>
    </row>
    <row r="201" spans="1:12" x14ac:dyDescent="0.35">
      <c r="A201" s="8" t="s">
        <v>293</v>
      </c>
      <c r="B201" s="8" t="s">
        <v>1006</v>
      </c>
      <c r="C201" s="8" t="s">
        <v>1006</v>
      </c>
      <c r="D201" s="8" t="s">
        <v>1006</v>
      </c>
      <c r="E201" s="8" t="s">
        <v>1006</v>
      </c>
      <c r="F201" s="141">
        <v>1.8253999999999997E-4</v>
      </c>
      <c r="G201" s="141"/>
      <c r="H201" s="141"/>
      <c r="I201" s="8" t="s">
        <v>42</v>
      </c>
      <c r="J201" s="8" t="s">
        <v>264</v>
      </c>
      <c r="K201" s="8">
        <v>2022</v>
      </c>
      <c r="L201" s="8" t="s">
        <v>289</v>
      </c>
    </row>
    <row r="202" spans="1:12" x14ac:dyDescent="0.35">
      <c r="A202" s="8" t="s">
        <v>293</v>
      </c>
      <c r="B202" s="8" t="s">
        <v>1007</v>
      </c>
      <c r="C202" s="8" t="s">
        <v>1007</v>
      </c>
      <c r="D202" s="8" t="s">
        <v>1007</v>
      </c>
      <c r="E202" s="8" t="s">
        <v>1007</v>
      </c>
      <c r="F202" s="141">
        <v>4.4435999999999998E-4</v>
      </c>
      <c r="G202" s="141"/>
      <c r="H202" s="141"/>
      <c r="I202" s="8" t="s">
        <v>292</v>
      </c>
      <c r="J202" s="8" t="s">
        <v>264</v>
      </c>
      <c r="K202" s="8">
        <v>2022</v>
      </c>
      <c r="L202" s="8" t="s">
        <v>289</v>
      </c>
    </row>
    <row r="203" spans="1:12" x14ac:dyDescent="0.35">
      <c r="A203" s="8" t="s">
        <v>293</v>
      </c>
      <c r="B203" s="8" t="s">
        <v>1008</v>
      </c>
      <c r="C203" s="8" t="s">
        <v>1008</v>
      </c>
      <c r="D203" s="8" t="s">
        <v>1008</v>
      </c>
      <c r="E203" s="8" t="s">
        <v>1008</v>
      </c>
      <c r="F203" s="141">
        <v>0.183</v>
      </c>
      <c r="G203" s="141"/>
      <c r="H203" s="141"/>
      <c r="I203" s="8" t="s">
        <v>43</v>
      </c>
      <c r="J203" s="8" t="s">
        <v>264</v>
      </c>
      <c r="K203" s="8">
        <v>2022</v>
      </c>
      <c r="L203" s="8" t="s">
        <v>296</v>
      </c>
    </row>
    <row r="204" spans="1:12" x14ac:dyDescent="0.35">
      <c r="A204" s="8" t="s">
        <v>293</v>
      </c>
      <c r="B204" s="8" t="s">
        <v>1009</v>
      </c>
      <c r="C204" s="8" t="s">
        <v>1009</v>
      </c>
      <c r="D204" s="8" t="s">
        <v>1009</v>
      </c>
      <c r="E204" s="8" t="s">
        <v>1009</v>
      </c>
      <c r="F204" s="141">
        <v>2.53925</v>
      </c>
      <c r="G204" s="141"/>
      <c r="H204" s="141"/>
      <c r="I204" s="8" t="s">
        <v>294</v>
      </c>
      <c r="J204" s="8" t="s">
        <v>264</v>
      </c>
      <c r="K204" s="8">
        <v>2022</v>
      </c>
      <c r="L204" s="8" t="s">
        <v>289</v>
      </c>
    </row>
    <row r="205" spans="1:12" x14ac:dyDescent="0.35">
      <c r="A205" s="8" t="s">
        <v>293</v>
      </c>
      <c r="B205" s="8" t="s">
        <v>1010</v>
      </c>
      <c r="C205" s="8" t="s">
        <v>1010</v>
      </c>
      <c r="D205" s="8" t="s">
        <v>1010</v>
      </c>
      <c r="E205" s="8" t="s">
        <v>1010</v>
      </c>
      <c r="F205" s="141">
        <v>3.5999999999999997E-4</v>
      </c>
      <c r="G205" s="141"/>
      <c r="H205" s="141"/>
      <c r="I205" s="8" t="s">
        <v>42</v>
      </c>
      <c r="J205" s="8" t="s">
        <v>264</v>
      </c>
      <c r="K205" s="8">
        <v>2022</v>
      </c>
      <c r="L205" s="8" t="s">
        <v>289</v>
      </c>
    </row>
    <row r="206" spans="1:12" x14ac:dyDescent="0.35">
      <c r="A206" s="8" t="s">
        <v>293</v>
      </c>
      <c r="B206" s="8" t="s">
        <v>1166</v>
      </c>
      <c r="C206" s="8" t="s">
        <v>1166</v>
      </c>
      <c r="D206" s="8" t="s">
        <v>1166</v>
      </c>
      <c r="E206" s="8" t="s">
        <v>1166</v>
      </c>
      <c r="F206" s="141">
        <v>0.36</v>
      </c>
      <c r="G206" s="141"/>
      <c r="H206" s="141"/>
      <c r="I206" s="8" t="s">
        <v>43</v>
      </c>
      <c r="J206" s="8" t="s">
        <v>264</v>
      </c>
      <c r="K206" s="8">
        <v>2022</v>
      </c>
      <c r="L206" s="8" t="s">
        <v>289</v>
      </c>
    </row>
    <row r="207" spans="1:12" x14ac:dyDescent="0.35">
      <c r="A207" s="8" t="s">
        <v>293</v>
      </c>
      <c r="B207" s="8" t="s">
        <v>1011</v>
      </c>
      <c r="C207" s="8" t="s">
        <v>1011</v>
      </c>
      <c r="D207" s="8" t="s">
        <v>1011</v>
      </c>
      <c r="E207" s="8" t="s">
        <v>1011</v>
      </c>
      <c r="F207" s="141">
        <v>2.8832599999999999</v>
      </c>
      <c r="G207" s="141"/>
      <c r="H207" s="141"/>
      <c r="I207" s="8" t="s">
        <v>294</v>
      </c>
      <c r="J207" s="8" t="s">
        <v>264</v>
      </c>
      <c r="K207" s="8">
        <v>2022</v>
      </c>
      <c r="L207" s="8" t="s">
        <v>289</v>
      </c>
    </row>
    <row r="208" spans="1:12" x14ac:dyDescent="0.35">
      <c r="A208" s="8" t="s">
        <v>293</v>
      </c>
      <c r="B208" s="8" t="s">
        <v>1387</v>
      </c>
      <c r="C208" s="8" t="s">
        <v>1387</v>
      </c>
      <c r="D208" s="8" t="s">
        <v>1387</v>
      </c>
      <c r="E208" s="8" t="s">
        <v>1387</v>
      </c>
      <c r="F208" s="141">
        <f>1000*0.36</f>
        <v>360</v>
      </c>
      <c r="G208" s="141"/>
      <c r="H208" s="141"/>
      <c r="I208" s="8" t="s">
        <v>46</v>
      </c>
      <c r="J208" s="8" t="s">
        <v>264</v>
      </c>
      <c r="K208" s="8">
        <v>2022</v>
      </c>
      <c r="L208" s="8" t="s">
        <v>289</v>
      </c>
    </row>
    <row r="209" spans="1:12" x14ac:dyDescent="0.35">
      <c r="A209" s="8" t="s">
        <v>293</v>
      </c>
      <c r="B209" s="8" t="s">
        <v>72</v>
      </c>
      <c r="C209" s="8" t="s">
        <v>72</v>
      </c>
      <c r="D209" s="8" t="s">
        <v>72</v>
      </c>
      <c r="E209" s="8" t="s">
        <v>72</v>
      </c>
      <c r="F209" s="141">
        <v>2.5578399999999996E-3</v>
      </c>
      <c r="G209" s="141"/>
      <c r="H209" s="141"/>
      <c r="I209" s="8" t="s">
        <v>292</v>
      </c>
      <c r="J209" s="8" t="s">
        <v>264</v>
      </c>
      <c r="K209" s="8">
        <v>2022</v>
      </c>
      <c r="L209" s="8" t="s">
        <v>289</v>
      </c>
    </row>
    <row r="210" spans="1:12" x14ac:dyDescent="0.35">
      <c r="A210" s="8" t="s">
        <v>293</v>
      </c>
      <c r="B210" s="8" t="s">
        <v>1012</v>
      </c>
      <c r="C210" s="8" t="s">
        <v>1012</v>
      </c>
      <c r="D210" s="8" t="s">
        <v>1012</v>
      </c>
      <c r="E210" s="8" t="s">
        <v>1012</v>
      </c>
      <c r="F210" s="141">
        <v>256.30999999999995</v>
      </c>
      <c r="G210" s="141"/>
      <c r="H210" s="141"/>
      <c r="I210" s="8" t="s">
        <v>46</v>
      </c>
      <c r="J210" s="8" t="s">
        <v>264</v>
      </c>
      <c r="K210" s="8">
        <v>2022</v>
      </c>
      <c r="L210" s="8" t="s">
        <v>289</v>
      </c>
    </row>
    <row r="211" spans="1:12" x14ac:dyDescent="0.35">
      <c r="A211" s="8" t="s">
        <v>293</v>
      </c>
      <c r="B211" s="8" t="s">
        <v>1013</v>
      </c>
      <c r="C211" s="8" t="s">
        <v>1013</v>
      </c>
      <c r="D211" s="8" t="s">
        <v>1013</v>
      </c>
      <c r="E211" s="8" t="s">
        <v>1013</v>
      </c>
      <c r="F211" s="141">
        <v>2.5630999999999999E-4</v>
      </c>
      <c r="G211" s="141"/>
      <c r="H211" s="141"/>
      <c r="I211" s="8" t="s">
        <v>42</v>
      </c>
      <c r="J211" s="8" t="s">
        <v>264</v>
      </c>
      <c r="K211" s="8">
        <v>2022</v>
      </c>
      <c r="L211" s="8" t="s">
        <v>289</v>
      </c>
    </row>
    <row r="212" spans="1:12" x14ac:dyDescent="0.35">
      <c r="A212" s="8" t="s">
        <v>293</v>
      </c>
      <c r="B212" s="8" t="s">
        <v>1014</v>
      </c>
      <c r="C212" s="8" t="s">
        <v>1014</v>
      </c>
      <c r="D212" s="8" t="s">
        <v>1014</v>
      </c>
      <c r="E212" s="8" t="s">
        <v>1014</v>
      </c>
      <c r="F212" s="141">
        <v>2.5578399999999996E-3</v>
      </c>
      <c r="G212" s="141"/>
      <c r="H212" s="141"/>
      <c r="I212" s="8" t="s">
        <v>292</v>
      </c>
      <c r="J212" s="8" t="s">
        <v>264</v>
      </c>
      <c r="K212" s="8">
        <v>2022</v>
      </c>
      <c r="L212" s="8" t="s">
        <v>289</v>
      </c>
    </row>
    <row r="213" spans="1:12" x14ac:dyDescent="0.35">
      <c r="A213" s="8" t="s">
        <v>293</v>
      </c>
      <c r="B213" s="8" t="s">
        <v>1015</v>
      </c>
      <c r="C213" s="8" t="s">
        <v>1015</v>
      </c>
      <c r="D213" s="8" t="s">
        <v>1015</v>
      </c>
      <c r="E213" s="8" t="s">
        <v>1015</v>
      </c>
      <c r="F213" s="141">
        <v>0.25630999999999998</v>
      </c>
      <c r="G213" s="141"/>
      <c r="H213" s="141"/>
      <c r="I213" s="8" t="s">
        <v>43</v>
      </c>
      <c r="J213" s="8" t="s">
        <v>264</v>
      </c>
      <c r="K213" s="8">
        <v>2022</v>
      </c>
      <c r="L213" s="8" t="s">
        <v>289</v>
      </c>
    </row>
    <row r="214" spans="1:12" x14ac:dyDescent="0.35">
      <c r="A214" s="8" t="s">
        <v>293</v>
      </c>
      <c r="B214" s="8" t="s">
        <v>1019</v>
      </c>
      <c r="C214" s="8" t="s">
        <v>1019</v>
      </c>
      <c r="D214" s="8" t="s">
        <v>1019</v>
      </c>
      <c r="E214" s="8" t="s">
        <v>1019</v>
      </c>
      <c r="F214" s="141">
        <v>1.8396999999999999E-4</v>
      </c>
      <c r="G214" s="141"/>
      <c r="H214" s="141"/>
      <c r="I214" s="8" t="s">
        <v>42</v>
      </c>
      <c r="J214" s="8" t="s">
        <v>264</v>
      </c>
      <c r="K214" s="8">
        <v>2022</v>
      </c>
      <c r="L214" s="8" t="s">
        <v>289</v>
      </c>
    </row>
    <row r="215" spans="1:12" x14ac:dyDescent="0.35">
      <c r="A215" s="8" t="s">
        <v>293</v>
      </c>
      <c r="B215" s="8" t="s">
        <v>1020</v>
      </c>
      <c r="C215" s="8" t="s">
        <v>1020</v>
      </c>
      <c r="D215" s="8" t="s">
        <v>1020</v>
      </c>
      <c r="E215" s="8" t="s">
        <v>1020</v>
      </c>
      <c r="F215" s="141">
        <v>1.158E-3</v>
      </c>
      <c r="G215" s="141"/>
      <c r="H215" s="141"/>
      <c r="I215" s="8" t="s">
        <v>292</v>
      </c>
      <c r="J215" s="8" t="s">
        <v>264</v>
      </c>
      <c r="K215" s="8">
        <v>2022</v>
      </c>
      <c r="L215" s="8" t="s">
        <v>289</v>
      </c>
    </row>
    <row r="216" spans="1:12" x14ac:dyDescent="0.35">
      <c r="A216" s="8" t="s">
        <v>293</v>
      </c>
      <c r="B216" s="8" t="s">
        <v>1021</v>
      </c>
      <c r="C216" s="8" t="s">
        <v>1021</v>
      </c>
      <c r="D216" s="8" t="s">
        <v>1021</v>
      </c>
      <c r="E216" s="8" t="s">
        <v>1021</v>
      </c>
      <c r="F216" s="141">
        <v>0.184</v>
      </c>
      <c r="G216" s="141"/>
      <c r="H216" s="141"/>
      <c r="I216" s="8" t="s">
        <v>43</v>
      </c>
      <c r="J216" s="8" t="s">
        <v>264</v>
      </c>
      <c r="K216" s="8">
        <v>2022</v>
      </c>
      <c r="L216" s="8" t="s">
        <v>296</v>
      </c>
    </row>
    <row r="217" spans="1:12" x14ac:dyDescent="0.35">
      <c r="A217" s="8" t="s">
        <v>293</v>
      </c>
      <c r="B217" s="8" t="s">
        <v>1022</v>
      </c>
      <c r="C217" s="8" t="s">
        <v>1022</v>
      </c>
      <c r="D217" s="8" t="s">
        <v>1022</v>
      </c>
      <c r="E217" s="8" t="s">
        <v>1022</v>
      </c>
      <c r="F217" s="141">
        <v>2.5591699999999999</v>
      </c>
      <c r="G217" s="141"/>
      <c r="H217" s="141"/>
      <c r="I217" s="8" t="s">
        <v>294</v>
      </c>
      <c r="J217" s="8" t="s">
        <v>264</v>
      </c>
      <c r="K217" s="8">
        <v>2022</v>
      </c>
      <c r="L217" s="8" t="s">
        <v>289</v>
      </c>
    </row>
    <row r="218" spans="1:12" x14ac:dyDescent="0.35">
      <c r="A218" s="8" t="s">
        <v>293</v>
      </c>
      <c r="B218" s="8" t="s">
        <v>1023</v>
      </c>
      <c r="C218" s="8" t="s">
        <v>1023</v>
      </c>
      <c r="D218" s="8" t="s">
        <v>1023</v>
      </c>
      <c r="E218" s="8" t="s">
        <v>1023</v>
      </c>
      <c r="F218" s="141">
        <v>2.0999999999999998E-4</v>
      </c>
      <c r="G218" s="141"/>
      <c r="H218" s="141"/>
      <c r="I218" s="8" t="s">
        <v>42</v>
      </c>
      <c r="J218" s="8" t="s">
        <v>264</v>
      </c>
      <c r="K218" s="8">
        <v>2022</v>
      </c>
      <c r="L218" s="8" t="s">
        <v>289</v>
      </c>
    </row>
    <row r="219" spans="1:12" x14ac:dyDescent="0.35">
      <c r="A219" s="8" t="s">
        <v>293</v>
      </c>
      <c r="B219" s="8" t="s">
        <v>1024</v>
      </c>
      <c r="C219" s="8" t="s">
        <v>1024</v>
      </c>
      <c r="D219" s="8" t="s">
        <v>1024</v>
      </c>
      <c r="E219" s="8" t="s">
        <v>1024</v>
      </c>
      <c r="F219" s="141">
        <v>1.5570900000000001E-3</v>
      </c>
      <c r="G219" s="141"/>
      <c r="H219" s="141"/>
      <c r="I219" s="8" t="s">
        <v>292</v>
      </c>
      <c r="J219" s="8" t="s">
        <v>264</v>
      </c>
      <c r="K219" s="8">
        <v>2022</v>
      </c>
      <c r="L219" s="8" t="s">
        <v>289</v>
      </c>
    </row>
    <row r="220" spans="1:12" x14ac:dyDescent="0.35">
      <c r="A220" s="8" t="s">
        <v>293</v>
      </c>
      <c r="B220" s="8" t="s">
        <v>1025</v>
      </c>
      <c r="C220" s="8" t="s">
        <v>1025</v>
      </c>
      <c r="D220" s="8" t="s">
        <v>1025</v>
      </c>
      <c r="E220" s="8" t="s">
        <v>1025</v>
      </c>
      <c r="F220" s="141">
        <v>0.21</v>
      </c>
      <c r="G220" s="141"/>
      <c r="H220" s="141"/>
      <c r="I220" s="8" t="s">
        <v>43</v>
      </c>
      <c r="J220" s="8" t="s">
        <v>264</v>
      </c>
      <c r="K220" s="8">
        <v>2022</v>
      </c>
      <c r="L220" s="8" t="s">
        <v>296</v>
      </c>
    </row>
    <row r="221" spans="1:12" x14ac:dyDescent="0.35">
      <c r="A221" s="8" t="s">
        <v>293</v>
      </c>
      <c r="B221" s="8" t="s">
        <v>1389</v>
      </c>
      <c r="C221" s="8" t="s">
        <v>1389</v>
      </c>
      <c r="D221" s="8" t="s">
        <v>1389</v>
      </c>
      <c r="E221" s="8" t="s">
        <v>1389</v>
      </c>
      <c r="F221" s="141">
        <f>1000*0.21</f>
        <v>210</v>
      </c>
      <c r="G221" s="141"/>
      <c r="H221" s="141"/>
      <c r="I221" s="8" t="s">
        <v>46</v>
      </c>
      <c r="J221" s="8" t="s">
        <v>264</v>
      </c>
      <c r="K221" s="8">
        <v>2022</v>
      </c>
      <c r="L221" s="8" t="s">
        <v>296</v>
      </c>
    </row>
    <row r="222" spans="1:12" x14ac:dyDescent="0.35">
      <c r="A222" s="8" t="s">
        <v>293</v>
      </c>
      <c r="B222" s="8" t="s">
        <v>1026</v>
      </c>
      <c r="C222" s="8" t="s">
        <v>1026</v>
      </c>
      <c r="D222" s="8" t="s">
        <v>1026</v>
      </c>
      <c r="E222" s="8" t="s">
        <v>1026</v>
      </c>
      <c r="F222" s="141">
        <v>2.9392900000000002</v>
      </c>
      <c r="G222" s="141"/>
      <c r="H222" s="141"/>
      <c r="I222" s="8" t="s">
        <v>294</v>
      </c>
      <c r="J222" s="8" t="s">
        <v>264</v>
      </c>
      <c r="K222" s="8">
        <v>2022</v>
      </c>
      <c r="L222" s="8" t="s">
        <v>289</v>
      </c>
    </row>
    <row r="223" spans="1:12" x14ac:dyDescent="0.35">
      <c r="A223" s="8" t="s">
        <v>293</v>
      </c>
      <c r="B223" s="8" t="s">
        <v>295</v>
      </c>
      <c r="C223" s="8" t="s">
        <v>295</v>
      </c>
      <c r="D223" s="8" t="s">
        <v>295</v>
      </c>
      <c r="E223" s="8" t="s">
        <v>295</v>
      </c>
      <c r="F223" s="141">
        <v>3.1428699999999998</v>
      </c>
      <c r="G223" s="141"/>
      <c r="H223" s="141"/>
      <c r="I223" s="8" t="s">
        <v>294</v>
      </c>
      <c r="J223" s="8" t="s">
        <v>264</v>
      </c>
      <c r="K223" s="8">
        <v>2022</v>
      </c>
      <c r="L223" s="8" t="s">
        <v>289</v>
      </c>
    </row>
    <row r="224" spans="1:12" x14ac:dyDescent="0.35">
      <c r="A224" s="8" t="s">
        <v>293</v>
      </c>
      <c r="B224" s="8" t="s">
        <v>1027</v>
      </c>
      <c r="C224" s="8" t="s">
        <v>1027</v>
      </c>
      <c r="D224" s="8" t="s">
        <v>1027</v>
      </c>
      <c r="E224" s="8" t="s">
        <v>1027</v>
      </c>
      <c r="F224" s="141">
        <v>5.1103186599999996E-2</v>
      </c>
      <c r="G224" s="141"/>
      <c r="H224" s="141"/>
      <c r="I224" s="8" t="s">
        <v>106</v>
      </c>
      <c r="J224" s="8" t="s">
        <v>264</v>
      </c>
      <c r="K224" s="8">
        <v>2022</v>
      </c>
      <c r="L224" s="8" t="s">
        <v>296</v>
      </c>
    </row>
    <row r="225" spans="1:12" x14ac:dyDescent="0.35">
      <c r="A225" s="8" t="s">
        <v>293</v>
      </c>
      <c r="B225" s="8" t="s">
        <v>1028</v>
      </c>
      <c r="C225" s="8" t="s">
        <v>1028</v>
      </c>
      <c r="D225" s="8" t="s">
        <v>1028</v>
      </c>
      <c r="E225" s="8" t="s">
        <v>1028</v>
      </c>
      <c r="F225" s="141">
        <v>183.97</v>
      </c>
      <c r="G225" s="141"/>
      <c r="H225" s="141"/>
      <c r="I225" s="8" t="s">
        <v>46</v>
      </c>
      <c r="J225" s="8" t="s">
        <v>264</v>
      </c>
      <c r="K225" s="8">
        <v>2022</v>
      </c>
      <c r="L225" s="8" t="s">
        <v>296</v>
      </c>
    </row>
    <row r="226" spans="1:12" x14ac:dyDescent="0.35">
      <c r="A226" s="8" t="s">
        <v>293</v>
      </c>
      <c r="B226" s="8" t="s">
        <v>1029</v>
      </c>
      <c r="C226" s="8" t="s">
        <v>1029</v>
      </c>
      <c r="D226" s="8" t="s">
        <v>1029</v>
      </c>
      <c r="E226" s="8" t="s">
        <v>1029</v>
      </c>
      <c r="F226" s="141">
        <v>1.8396999999999999E-4</v>
      </c>
      <c r="G226" s="141"/>
      <c r="H226" s="141"/>
      <c r="I226" s="8" t="s">
        <v>42</v>
      </c>
      <c r="J226" s="8" t="s">
        <v>264</v>
      </c>
      <c r="K226" s="8">
        <v>2022</v>
      </c>
      <c r="L226" s="8" t="s">
        <v>289</v>
      </c>
    </row>
    <row r="227" spans="1:12" x14ac:dyDescent="0.35">
      <c r="A227" s="8" t="s">
        <v>293</v>
      </c>
      <c r="B227" s="8" t="s">
        <v>1030</v>
      </c>
      <c r="C227" s="8" t="s">
        <v>1030</v>
      </c>
      <c r="D227" s="8" t="s">
        <v>1030</v>
      </c>
      <c r="E227" s="8" t="s">
        <v>1030</v>
      </c>
      <c r="F227" s="141">
        <v>2.03155E-3</v>
      </c>
      <c r="G227" s="141"/>
      <c r="H227" s="141"/>
      <c r="I227" s="8" t="s">
        <v>297</v>
      </c>
      <c r="J227" s="8" t="s">
        <v>264</v>
      </c>
      <c r="K227" s="8">
        <v>2022</v>
      </c>
      <c r="L227" s="8" t="s">
        <v>289</v>
      </c>
    </row>
    <row r="228" spans="1:12" x14ac:dyDescent="0.35">
      <c r="A228" s="8" t="s">
        <v>293</v>
      </c>
      <c r="B228" s="8" t="s">
        <v>1031</v>
      </c>
      <c r="C228" s="8" t="s">
        <v>1031</v>
      </c>
      <c r="D228" s="8" t="s">
        <v>1031</v>
      </c>
      <c r="E228" s="8" t="s">
        <v>1031</v>
      </c>
      <c r="F228" s="141">
        <v>0.18396999999999999</v>
      </c>
      <c r="G228" s="141"/>
      <c r="H228" s="141"/>
      <c r="I228" s="8" t="s">
        <v>43</v>
      </c>
      <c r="J228" s="8" t="s">
        <v>264</v>
      </c>
      <c r="K228" s="8">
        <v>2022</v>
      </c>
      <c r="L228" s="8" t="s">
        <v>296</v>
      </c>
    </row>
    <row r="229" spans="1:12" x14ac:dyDescent="0.35">
      <c r="A229" s="8" t="s">
        <v>293</v>
      </c>
      <c r="B229" s="8" t="s">
        <v>1032</v>
      </c>
      <c r="C229" s="8" t="s">
        <v>1032</v>
      </c>
      <c r="D229" s="8" t="s">
        <v>1032</v>
      </c>
      <c r="E229" s="8" t="s">
        <v>1032</v>
      </c>
      <c r="F229" s="141">
        <v>2.1618500000000003E-3</v>
      </c>
      <c r="G229" s="141"/>
      <c r="H229" s="141"/>
      <c r="I229" s="8" t="s">
        <v>292</v>
      </c>
      <c r="J229" s="8" t="s">
        <v>264</v>
      </c>
      <c r="K229" s="8">
        <v>2022</v>
      </c>
      <c r="L229" s="8" t="s">
        <v>289</v>
      </c>
    </row>
    <row r="230" spans="1:12" x14ac:dyDescent="0.35">
      <c r="A230" s="8" t="s">
        <v>293</v>
      </c>
      <c r="B230" s="8" t="s">
        <v>1169</v>
      </c>
      <c r="C230" s="8" t="s">
        <v>1169</v>
      </c>
      <c r="D230" s="8" t="s">
        <v>1169</v>
      </c>
      <c r="E230" s="8" t="s">
        <v>1169</v>
      </c>
      <c r="F230" s="141">
        <f>0.233965161073826/1000</f>
        <v>2.33965161073826E-4</v>
      </c>
      <c r="G230" s="141"/>
      <c r="H230" s="141"/>
      <c r="I230" s="8" t="s">
        <v>42</v>
      </c>
      <c r="J230" s="8" t="s">
        <v>264</v>
      </c>
      <c r="K230" s="8">
        <v>2022</v>
      </c>
      <c r="L230" s="8" t="s">
        <v>289</v>
      </c>
    </row>
    <row r="231" spans="1:12" x14ac:dyDescent="0.35">
      <c r="A231" s="8" t="s">
        <v>293</v>
      </c>
      <c r="B231" s="8" t="s">
        <v>1170</v>
      </c>
      <c r="C231" s="8" t="s">
        <v>1170</v>
      </c>
      <c r="D231" s="8" t="s">
        <v>1170</v>
      </c>
      <c r="E231" s="8" t="s">
        <v>1170</v>
      </c>
      <c r="F231" s="141">
        <f>0.233965161073826/1000*1000</f>
        <v>0.23396516107382601</v>
      </c>
      <c r="G231" s="141"/>
      <c r="H231" s="141"/>
      <c r="I231" s="8" t="s">
        <v>43</v>
      </c>
      <c r="J231" s="8" t="s">
        <v>264</v>
      </c>
      <c r="K231" s="8">
        <v>2022</v>
      </c>
      <c r="L231" s="8" t="s">
        <v>289</v>
      </c>
    </row>
    <row r="232" spans="1:12" x14ac:dyDescent="0.35">
      <c r="A232" s="8" t="s">
        <v>293</v>
      </c>
      <c r="B232" s="8" t="s">
        <v>1033</v>
      </c>
      <c r="C232" s="8" t="s">
        <v>1033</v>
      </c>
      <c r="D232" s="8" t="s">
        <v>1033</v>
      </c>
      <c r="E232" s="8" t="s">
        <v>1033</v>
      </c>
      <c r="F232" s="141">
        <v>2.1618500000000003E-3</v>
      </c>
      <c r="G232" s="141"/>
      <c r="H232" s="141"/>
      <c r="I232" s="8" t="s">
        <v>292</v>
      </c>
      <c r="J232" s="8" t="s">
        <v>264</v>
      </c>
      <c r="K232" s="8">
        <v>2022</v>
      </c>
      <c r="L232" s="8" t="s">
        <v>289</v>
      </c>
    </row>
    <row r="233" spans="1:12" x14ac:dyDescent="0.35">
      <c r="A233" s="8" t="s">
        <v>293</v>
      </c>
      <c r="B233" s="8" t="s">
        <v>1034</v>
      </c>
      <c r="C233" s="8" t="s">
        <v>1034</v>
      </c>
      <c r="D233" s="8" t="s">
        <v>1034</v>
      </c>
      <c r="E233" s="8" t="s">
        <v>1034</v>
      </c>
      <c r="F233" s="141">
        <v>2.33965161073826E-4</v>
      </c>
      <c r="G233" s="141"/>
      <c r="H233" s="141"/>
      <c r="I233" s="8" t="s">
        <v>42</v>
      </c>
      <c r="J233" s="8" t="s">
        <v>264</v>
      </c>
      <c r="K233" s="8">
        <v>2022</v>
      </c>
      <c r="L233" s="8" t="s">
        <v>296</v>
      </c>
    </row>
    <row r="234" spans="1:12" x14ac:dyDescent="0.35">
      <c r="A234" s="8" t="s">
        <v>293</v>
      </c>
      <c r="B234" s="8" t="s">
        <v>1035</v>
      </c>
      <c r="C234" s="8" t="s">
        <v>1035</v>
      </c>
      <c r="D234" s="8" t="s">
        <v>1035</v>
      </c>
      <c r="E234" s="8" t="s">
        <v>1035</v>
      </c>
      <c r="F234" s="141">
        <v>0.23396516107382601</v>
      </c>
      <c r="G234" s="141"/>
      <c r="H234" s="141"/>
      <c r="I234" s="8" t="s">
        <v>43</v>
      </c>
      <c r="J234" s="8" t="s">
        <v>264</v>
      </c>
      <c r="K234" s="8">
        <v>2022</v>
      </c>
      <c r="L234" s="8" t="s">
        <v>296</v>
      </c>
    </row>
    <row r="235" spans="1:12" x14ac:dyDescent="0.35">
      <c r="A235" s="8" t="s">
        <v>300</v>
      </c>
      <c r="B235" s="8" t="s">
        <v>63</v>
      </c>
      <c r="C235" s="8" t="s">
        <v>63</v>
      </c>
      <c r="D235" s="8" t="s">
        <v>63</v>
      </c>
      <c r="E235" s="8" t="s">
        <v>63</v>
      </c>
      <c r="F235" s="141">
        <f>0.06/1000</f>
        <v>5.9999999999999995E-5</v>
      </c>
      <c r="G235" s="141"/>
      <c r="H235" s="141"/>
      <c r="I235" s="8" t="s">
        <v>86</v>
      </c>
      <c r="J235" s="8" t="s">
        <v>264</v>
      </c>
      <c r="K235" s="8">
        <v>2022</v>
      </c>
      <c r="L235" s="8"/>
    </row>
    <row r="236" spans="1:12" x14ac:dyDescent="0.35">
      <c r="A236" s="8" t="s">
        <v>293</v>
      </c>
      <c r="B236" s="8" t="s">
        <v>1036</v>
      </c>
      <c r="C236" s="8" t="s">
        <v>1036</v>
      </c>
      <c r="D236" s="8" t="s">
        <v>1036</v>
      </c>
      <c r="E236" s="8" t="s">
        <v>1036</v>
      </c>
      <c r="F236" s="141">
        <v>9.0339999999999986E-3</v>
      </c>
      <c r="G236" s="141"/>
      <c r="H236" s="141"/>
      <c r="I236" s="8" t="s">
        <v>46</v>
      </c>
      <c r="J236" s="8" t="s">
        <v>264</v>
      </c>
      <c r="K236" s="8">
        <v>2022</v>
      </c>
      <c r="L236" s="8" t="s">
        <v>296</v>
      </c>
    </row>
    <row r="237" spans="1:12" x14ac:dyDescent="0.35">
      <c r="A237" s="8" t="s">
        <v>293</v>
      </c>
      <c r="B237" s="8" t="s">
        <v>1037</v>
      </c>
      <c r="C237" s="8" t="s">
        <v>1037</v>
      </c>
      <c r="D237" s="8" t="s">
        <v>1037</v>
      </c>
      <c r="E237" s="8" t="s">
        <v>1037</v>
      </c>
      <c r="F237" s="141">
        <v>2.0999999999999998E-4</v>
      </c>
      <c r="G237" s="141"/>
      <c r="H237" s="141"/>
      <c r="I237" s="8" t="s">
        <v>42</v>
      </c>
      <c r="J237" s="8" t="s">
        <v>264</v>
      </c>
      <c r="K237" s="8">
        <v>2022</v>
      </c>
      <c r="L237" s="8" t="s">
        <v>289</v>
      </c>
    </row>
    <row r="238" spans="1:12" x14ac:dyDescent="0.35">
      <c r="A238" s="8" t="s">
        <v>293</v>
      </c>
      <c r="B238" s="8" t="s">
        <v>1038</v>
      </c>
      <c r="C238" s="8" t="s">
        <v>1038</v>
      </c>
      <c r="D238" s="8" t="s">
        <v>1038</v>
      </c>
      <c r="E238" s="8" t="s">
        <v>1038</v>
      </c>
      <c r="F238" s="141">
        <v>1.5400000000000001E-3</v>
      </c>
      <c r="G238" s="141"/>
      <c r="H238" s="141"/>
      <c r="I238" s="8" t="s">
        <v>292</v>
      </c>
      <c r="J238" s="8" t="s">
        <v>264</v>
      </c>
      <c r="K238" s="8">
        <v>2022</v>
      </c>
      <c r="L238" s="8" t="s">
        <v>289</v>
      </c>
    </row>
    <row r="239" spans="1:12" x14ac:dyDescent="0.35">
      <c r="A239" s="8" t="s">
        <v>293</v>
      </c>
      <c r="B239" s="8" t="s">
        <v>1039</v>
      </c>
      <c r="C239" s="8" t="s">
        <v>1039</v>
      </c>
      <c r="D239" s="8" t="s">
        <v>1039</v>
      </c>
      <c r="E239" s="8" t="s">
        <v>1039</v>
      </c>
      <c r="F239" s="141">
        <v>1.54</v>
      </c>
      <c r="G239" s="141"/>
      <c r="H239" s="141"/>
      <c r="I239" s="8" t="s">
        <v>43</v>
      </c>
      <c r="J239" s="8" t="s">
        <v>264</v>
      </c>
      <c r="K239" s="8">
        <v>2022</v>
      </c>
      <c r="L239" s="8" t="s">
        <v>296</v>
      </c>
    </row>
    <row r="240" spans="1:12" x14ac:dyDescent="0.35">
      <c r="A240" s="8" t="s">
        <v>293</v>
      </c>
      <c r="B240" s="8" t="s">
        <v>1040</v>
      </c>
      <c r="C240" s="8" t="s">
        <v>1040</v>
      </c>
      <c r="D240" s="8" t="s">
        <v>1040</v>
      </c>
      <c r="E240" s="8" t="s">
        <v>1040</v>
      </c>
      <c r="F240" s="141">
        <v>2.9975500000000004</v>
      </c>
      <c r="G240" s="141"/>
      <c r="H240" s="141"/>
      <c r="I240" s="8" t="s">
        <v>294</v>
      </c>
      <c r="J240" s="8" t="s">
        <v>264</v>
      </c>
      <c r="K240" s="8">
        <v>2022</v>
      </c>
      <c r="L240" s="8" t="s">
        <v>289</v>
      </c>
    </row>
    <row r="241" spans="1:12" x14ac:dyDescent="0.35">
      <c r="A241" s="8" t="s">
        <v>298</v>
      </c>
      <c r="B241" s="8" t="s">
        <v>1016</v>
      </c>
      <c r="C241" s="8" t="s">
        <v>1016</v>
      </c>
      <c r="D241" s="8" t="s">
        <v>1016</v>
      </c>
      <c r="E241" s="8" t="s">
        <v>1016</v>
      </c>
      <c r="F241" s="141">
        <v>4.7425379399999988E-2</v>
      </c>
      <c r="G241" s="141"/>
      <c r="H241" s="141"/>
      <c r="I241" s="8" t="s">
        <v>106</v>
      </c>
      <c r="J241" s="8" t="s">
        <v>264</v>
      </c>
      <c r="K241" s="8">
        <v>2022</v>
      </c>
      <c r="L241" s="8" t="s">
        <v>299</v>
      </c>
    </row>
    <row r="242" spans="1:12" x14ac:dyDescent="0.35">
      <c r="A242" s="8" t="s">
        <v>298</v>
      </c>
      <c r="B242" s="8" t="s">
        <v>1017</v>
      </c>
      <c r="C242" s="8" t="s">
        <v>1017</v>
      </c>
      <c r="D242" s="8" t="s">
        <v>1017</v>
      </c>
      <c r="E242" s="8" t="s">
        <v>1017</v>
      </c>
      <c r="F242" s="141">
        <v>1.7072999999999999E-4</v>
      </c>
      <c r="G242" s="141"/>
      <c r="H242" s="141"/>
      <c r="I242" s="8" t="s">
        <v>42</v>
      </c>
      <c r="J242" s="8" t="s">
        <v>264</v>
      </c>
      <c r="K242" s="8">
        <v>2022</v>
      </c>
      <c r="L242" s="8" t="s">
        <v>289</v>
      </c>
    </row>
    <row r="243" spans="1:12" x14ac:dyDescent="0.35">
      <c r="A243" s="8" t="s">
        <v>298</v>
      </c>
      <c r="B243" s="8" t="s">
        <v>1018</v>
      </c>
      <c r="C243" s="8" t="s">
        <v>1018</v>
      </c>
      <c r="D243" s="8" t="s">
        <v>1018</v>
      </c>
      <c r="E243" s="8" t="s">
        <v>1018</v>
      </c>
      <c r="F243" s="141">
        <v>0.17072999999999999</v>
      </c>
      <c r="G243" s="141"/>
      <c r="H243" s="141"/>
      <c r="I243" s="8" t="s">
        <v>43</v>
      </c>
      <c r="J243" s="8" t="s">
        <v>264</v>
      </c>
      <c r="K243" s="8">
        <v>2022</v>
      </c>
      <c r="L243" s="8" t="s">
        <v>296</v>
      </c>
    </row>
    <row r="244" spans="1:12" x14ac:dyDescent="0.35">
      <c r="A244" s="8" t="s">
        <v>323</v>
      </c>
      <c r="B244" s="8" t="s">
        <v>523</v>
      </c>
      <c r="C244" s="8" t="s">
        <v>822</v>
      </c>
      <c r="D244" s="8" t="s">
        <v>823</v>
      </c>
      <c r="E244" s="8" t="s">
        <v>824</v>
      </c>
      <c r="F244" s="141">
        <v>0.96320000000000006</v>
      </c>
      <c r="G244" s="141">
        <v>3.44E-2</v>
      </c>
      <c r="H244" s="141"/>
      <c r="I244" s="8" t="s">
        <v>319</v>
      </c>
      <c r="J244" s="8" t="s">
        <v>264</v>
      </c>
      <c r="K244" s="8">
        <v>2022</v>
      </c>
      <c r="L244" s="8" t="s">
        <v>596</v>
      </c>
    </row>
    <row r="245" spans="1:12" x14ac:dyDescent="0.35">
      <c r="A245" s="8" t="s">
        <v>323</v>
      </c>
      <c r="B245" s="8" t="s">
        <v>524</v>
      </c>
      <c r="C245" s="8" t="s">
        <v>825</v>
      </c>
      <c r="D245" s="8" t="s">
        <v>826</v>
      </c>
      <c r="E245" s="8" t="s">
        <v>827</v>
      </c>
      <c r="F245" s="141">
        <v>0.54571999999999987</v>
      </c>
      <c r="G245" s="141">
        <v>1.9489999999999997E-2</v>
      </c>
      <c r="H245" s="141"/>
      <c r="I245" s="8" t="s">
        <v>319</v>
      </c>
      <c r="J245" s="8" t="s">
        <v>264</v>
      </c>
      <c r="K245" s="8">
        <v>2022</v>
      </c>
      <c r="L245" s="8" t="s">
        <v>596</v>
      </c>
    </row>
    <row r="246" spans="1:12" x14ac:dyDescent="0.35">
      <c r="A246" s="8" t="s">
        <v>323</v>
      </c>
      <c r="B246" s="8" t="s">
        <v>525</v>
      </c>
      <c r="C246" s="8" t="s">
        <v>828</v>
      </c>
      <c r="D246" s="8" t="s">
        <v>829</v>
      </c>
      <c r="E246" s="8" t="s">
        <v>830</v>
      </c>
      <c r="F246" s="141">
        <v>5.3200000000000001E-3</v>
      </c>
      <c r="G246" s="141">
        <v>1.9000000000000001E-4</v>
      </c>
      <c r="H246" s="141"/>
      <c r="I246" s="8" t="s">
        <v>319</v>
      </c>
      <c r="J246" s="8" t="s">
        <v>264</v>
      </c>
      <c r="K246" s="8">
        <v>2022</v>
      </c>
      <c r="L246" s="8" t="s">
        <v>596</v>
      </c>
    </row>
    <row r="247" spans="1:12" x14ac:dyDescent="0.35">
      <c r="A247" s="8" t="s">
        <v>323</v>
      </c>
      <c r="B247" s="8" t="s">
        <v>526</v>
      </c>
      <c r="C247" s="8" t="s">
        <v>831</v>
      </c>
      <c r="D247" s="8" t="s">
        <v>832</v>
      </c>
      <c r="E247" s="8" t="s">
        <v>833</v>
      </c>
      <c r="F247" s="141">
        <v>0.16575999999999999</v>
      </c>
      <c r="G247" s="141">
        <v>5.9199999999999999E-3</v>
      </c>
      <c r="H247" s="141"/>
      <c r="I247" s="8" t="s">
        <v>319</v>
      </c>
      <c r="J247" s="8" t="s">
        <v>264</v>
      </c>
      <c r="K247" s="8">
        <v>2022</v>
      </c>
      <c r="L247" s="8" t="s">
        <v>596</v>
      </c>
    </row>
    <row r="248" spans="1:12" x14ac:dyDescent="0.35">
      <c r="A248" s="8" t="s">
        <v>323</v>
      </c>
      <c r="B248" s="8" t="s">
        <v>527</v>
      </c>
      <c r="C248" s="8" t="s">
        <v>834</v>
      </c>
      <c r="D248" s="8" t="s">
        <v>835</v>
      </c>
      <c r="E248" s="8" t="s">
        <v>836</v>
      </c>
      <c r="F248" s="141">
        <v>3.6400000000000004E-3</v>
      </c>
      <c r="G248" s="141">
        <v>1.3000000000000002E-4</v>
      </c>
      <c r="H248" s="141"/>
      <c r="I248" s="8" t="s">
        <v>319</v>
      </c>
      <c r="J248" s="8" t="s">
        <v>264</v>
      </c>
      <c r="K248" s="8">
        <v>2022</v>
      </c>
      <c r="L248" s="8" t="s">
        <v>596</v>
      </c>
    </row>
    <row r="249" spans="1:12" x14ac:dyDescent="0.35">
      <c r="A249" s="8" t="s">
        <v>323</v>
      </c>
      <c r="B249" s="8" t="s">
        <v>528</v>
      </c>
      <c r="C249" s="8" t="s">
        <v>837</v>
      </c>
      <c r="D249" s="8" t="s">
        <v>838</v>
      </c>
      <c r="E249" s="8" t="s">
        <v>839</v>
      </c>
      <c r="F249" s="141">
        <v>4.3679999999999997E-2</v>
      </c>
      <c r="G249" s="141">
        <v>1.56E-3</v>
      </c>
      <c r="H249" s="141"/>
      <c r="I249" s="8" t="s">
        <v>319</v>
      </c>
      <c r="J249" s="8" t="s">
        <v>264</v>
      </c>
      <c r="K249" s="8">
        <v>2022</v>
      </c>
      <c r="L249" s="8" t="s">
        <v>596</v>
      </c>
    </row>
    <row r="250" spans="1:12" x14ac:dyDescent="0.35">
      <c r="A250" s="8" t="s">
        <v>323</v>
      </c>
      <c r="B250" s="8" t="s">
        <v>529</v>
      </c>
      <c r="C250" s="8" t="s">
        <v>840</v>
      </c>
      <c r="D250" s="8" t="s">
        <v>841</v>
      </c>
      <c r="E250" s="8" t="s">
        <v>842</v>
      </c>
      <c r="F250" s="141">
        <v>5.6000000000000006E-4</v>
      </c>
      <c r="G250" s="141">
        <v>2.0000000000000002E-5</v>
      </c>
      <c r="H250" s="141"/>
      <c r="I250" s="8" t="s">
        <v>319</v>
      </c>
      <c r="J250" s="8" t="s">
        <v>264</v>
      </c>
      <c r="K250" s="8">
        <v>2022</v>
      </c>
      <c r="L250" s="8" t="s">
        <v>596</v>
      </c>
    </row>
    <row r="251" spans="1:12" x14ac:dyDescent="0.35">
      <c r="A251" s="8" t="s">
        <v>323</v>
      </c>
      <c r="B251" s="8" t="s">
        <v>530</v>
      </c>
      <c r="C251" s="8" t="s">
        <v>843</v>
      </c>
      <c r="D251" s="8" t="s">
        <v>844</v>
      </c>
      <c r="E251" s="8" t="s">
        <v>845</v>
      </c>
      <c r="F251" s="141">
        <v>2.2400000000000002E-3</v>
      </c>
      <c r="G251" s="141">
        <v>8.0000000000000007E-5</v>
      </c>
      <c r="H251" s="141"/>
      <c r="I251" s="8" t="s">
        <v>319</v>
      </c>
      <c r="J251" s="8" t="s">
        <v>264</v>
      </c>
      <c r="K251" s="8">
        <v>2022</v>
      </c>
      <c r="L251" s="8" t="s">
        <v>596</v>
      </c>
    </row>
    <row r="252" spans="1:12" x14ac:dyDescent="0.35">
      <c r="A252" s="8" t="s">
        <v>323</v>
      </c>
      <c r="B252" s="8" t="s">
        <v>542</v>
      </c>
      <c r="C252" s="8" t="s">
        <v>871</v>
      </c>
      <c r="D252" s="8" t="s">
        <v>871</v>
      </c>
      <c r="E252" s="8" t="s">
        <v>872</v>
      </c>
      <c r="F252" s="141">
        <v>0.36875999999999998</v>
      </c>
      <c r="G252" s="141">
        <v>1.3169999999999999E-2</v>
      </c>
      <c r="H252" s="141"/>
      <c r="I252" s="8" t="s">
        <v>319</v>
      </c>
      <c r="J252" s="8" t="s">
        <v>264</v>
      </c>
      <c r="K252" s="8">
        <v>2022</v>
      </c>
      <c r="L252" s="8" t="s">
        <v>596</v>
      </c>
    </row>
    <row r="253" spans="1:12" x14ac:dyDescent="0.35">
      <c r="A253" s="8" t="s">
        <v>323</v>
      </c>
      <c r="B253" s="8" t="s">
        <v>543</v>
      </c>
      <c r="C253" s="8" t="s">
        <v>873</v>
      </c>
      <c r="D253" s="8" t="s">
        <v>873</v>
      </c>
      <c r="E253" s="8" t="s">
        <v>874</v>
      </c>
      <c r="F253" s="141">
        <v>0.24723999999999999</v>
      </c>
      <c r="G253" s="141">
        <v>8.8299999999999993E-3</v>
      </c>
      <c r="H253" s="141"/>
      <c r="I253" s="8" t="s">
        <v>319</v>
      </c>
      <c r="J253" s="8" t="s">
        <v>264</v>
      </c>
      <c r="K253" s="8">
        <v>2022</v>
      </c>
      <c r="L253" s="8" t="s">
        <v>596</v>
      </c>
    </row>
    <row r="254" spans="1:12" x14ac:dyDescent="0.35">
      <c r="A254" s="8" t="s">
        <v>323</v>
      </c>
      <c r="B254" s="8" t="s">
        <v>544</v>
      </c>
      <c r="C254" s="8" t="s">
        <v>875</v>
      </c>
      <c r="D254" s="8" t="s">
        <v>875</v>
      </c>
      <c r="E254" s="8" t="s">
        <v>876</v>
      </c>
      <c r="F254" s="141">
        <v>1.1480000000000001E-2</v>
      </c>
      <c r="G254" s="141">
        <v>4.0999999999999999E-4</v>
      </c>
      <c r="H254" s="141"/>
      <c r="I254" s="8" t="s">
        <v>319</v>
      </c>
      <c r="J254" s="8" t="s">
        <v>264</v>
      </c>
      <c r="K254" s="8">
        <v>2022</v>
      </c>
      <c r="L254" s="8" t="s">
        <v>596</v>
      </c>
    </row>
    <row r="255" spans="1:12" x14ac:dyDescent="0.35">
      <c r="A255" s="8" t="s">
        <v>323</v>
      </c>
      <c r="B255" s="8" t="s">
        <v>545</v>
      </c>
      <c r="C255" s="8" t="s">
        <v>877</v>
      </c>
      <c r="D255" s="8" t="s">
        <v>877</v>
      </c>
      <c r="E255" s="8" t="s">
        <v>878</v>
      </c>
      <c r="F255" s="141">
        <v>7.4480000000000005E-2</v>
      </c>
      <c r="G255" s="141">
        <v>2.66E-3</v>
      </c>
      <c r="H255" s="141"/>
      <c r="I255" s="8" t="s">
        <v>319</v>
      </c>
      <c r="J255" s="8" t="s">
        <v>264</v>
      </c>
      <c r="K255" s="8">
        <v>2022</v>
      </c>
      <c r="L255" s="8" t="s">
        <v>596</v>
      </c>
    </row>
    <row r="256" spans="1:12" x14ac:dyDescent="0.35">
      <c r="A256" s="8" t="s">
        <v>323</v>
      </c>
      <c r="B256" s="8" t="s">
        <v>546</v>
      </c>
      <c r="C256" s="8" t="s">
        <v>879</v>
      </c>
      <c r="D256" s="8" t="s">
        <v>879</v>
      </c>
      <c r="E256" s="8" t="s">
        <v>880</v>
      </c>
      <c r="F256" s="141">
        <v>3.6400000000000004E-3</v>
      </c>
      <c r="G256" s="141">
        <v>1.3000000000000002E-4</v>
      </c>
      <c r="H256" s="141"/>
      <c r="I256" s="8" t="s">
        <v>319</v>
      </c>
      <c r="J256" s="8" t="s">
        <v>264</v>
      </c>
      <c r="K256" s="8">
        <v>2022</v>
      </c>
      <c r="L256" s="8" t="s">
        <v>596</v>
      </c>
    </row>
    <row r="257" spans="1:12" x14ac:dyDescent="0.35">
      <c r="A257" s="8" t="s">
        <v>323</v>
      </c>
      <c r="B257" s="8" t="s">
        <v>547</v>
      </c>
      <c r="C257" s="8" t="s">
        <v>881</v>
      </c>
      <c r="D257" s="8" t="s">
        <v>881</v>
      </c>
      <c r="E257" s="8" t="s">
        <v>882</v>
      </c>
      <c r="F257" s="141">
        <v>4.3679999999999997E-2</v>
      </c>
      <c r="G257" s="141">
        <v>1.56E-3</v>
      </c>
      <c r="H257" s="141"/>
      <c r="I257" s="8" t="s">
        <v>319</v>
      </c>
      <c r="J257" s="8" t="s">
        <v>264</v>
      </c>
      <c r="K257" s="8">
        <v>2022</v>
      </c>
      <c r="L257" s="8" t="s">
        <v>596</v>
      </c>
    </row>
    <row r="258" spans="1:12" x14ac:dyDescent="0.35">
      <c r="A258" s="8" t="s">
        <v>323</v>
      </c>
      <c r="B258" s="8" t="s">
        <v>548</v>
      </c>
      <c r="C258" s="8" t="s">
        <v>883</v>
      </c>
      <c r="D258" s="8" t="s">
        <v>883</v>
      </c>
      <c r="E258" s="8" t="s">
        <v>884</v>
      </c>
      <c r="F258" s="141">
        <v>8.3999999999999993E-4</v>
      </c>
      <c r="G258" s="141">
        <v>2.9999999999999997E-5</v>
      </c>
      <c r="H258" s="141"/>
      <c r="I258" s="8" t="s">
        <v>319</v>
      </c>
      <c r="J258" s="8" t="s">
        <v>264</v>
      </c>
      <c r="K258" s="8">
        <v>2022</v>
      </c>
      <c r="L258" s="8" t="s">
        <v>596</v>
      </c>
    </row>
    <row r="259" spans="1:12" x14ac:dyDescent="0.35">
      <c r="A259" s="8" t="s">
        <v>323</v>
      </c>
      <c r="B259" s="8" t="s">
        <v>549</v>
      </c>
      <c r="C259" s="8" t="s">
        <v>885</v>
      </c>
      <c r="D259" s="8" t="s">
        <v>885</v>
      </c>
      <c r="E259" s="8" t="s">
        <v>886</v>
      </c>
      <c r="F259" s="141">
        <v>2.2400000000000002E-3</v>
      </c>
      <c r="G259" s="141">
        <v>8.0000000000000007E-5</v>
      </c>
      <c r="H259" s="141"/>
      <c r="I259" s="8" t="s">
        <v>319</v>
      </c>
      <c r="J259" s="8" t="s">
        <v>264</v>
      </c>
      <c r="K259" s="8">
        <v>2022</v>
      </c>
      <c r="L259" s="8" t="s">
        <v>596</v>
      </c>
    </row>
    <row r="260" spans="1:12" x14ac:dyDescent="0.35">
      <c r="A260" s="8" t="s">
        <v>323</v>
      </c>
      <c r="B260" s="8" t="s">
        <v>561</v>
      </c>
      <c r="C260" s="8" t="s">
        <v>909</v>
      </c>
      <c r="D260" s="8" t="s">
        <v>909</v>
      </c>
      <c r="E260" s="8" t="s">
        <v>910</v>
      </c>
      <c r="F260" s="141">
        <v>0.51603999999999994</v>
      </c>
      <c r="G260" s="141">
        <v>1.8429999999999998E-2</v>
      </c>
      <c r="H260" s="141"/>
      <c r="I260" s="8" t="s">
        <v>319</v>
      </c>
      <c r="J260" s="8" t="s">
        <v>264</v>
      </c>
      <c r="K260" s="8">
        <v>2022</v>
      </c>
      <c r="L260" s="8" t="s">
        <v>596</v>
      </c>
    </row>
    <row r="261" spans="1:12" x14ac:dyDescent="0.35">
      <c r="A261" s="8" t="s">
        <v>323</v>
      </c>
      <c r="B261" s="8" t="s">
        <v>562</v>
      </c>
      <c r="C261" s="8" t="s">
        <v>911</v>
      </c>
      <c r="D261" s="8" t="s">
        <v>911</v>
      </c>
      <c r="E261" s="8" t="s">
        <v>912</v>
      </c>
      <c r="F261" s="141">
        <v>5.6559999999999999E-2</v>
      </c>
      <c r="G261" s="141">
        <v>2.0200000000000001E-3</v>
      </c>
      <c r="H261" s="141"/>
      <c r="I261" s="8" t="s">
        <v>319</v>
      </c>
      <c r="J261" s="8" t="s">
        <v>264</v>
      </c>
      <c r="K261" s="8">
        <v>2022</v>
      </c>
      <c r="L261" s="8" t="s">
        <v>596</v>
      </c>
    </row>
    <row r="262" spans="1:12" x14ac:dyDescent="0.35">
      <c r="A262" s="8" t="s">
        <v>323</v>
      </c>
      <c r="B262" s="8" t="s">
        <v>563</v>
      </c>
      <c r="C262" s="8" t="s">
        <v>913</v>
      </c>
      <c r="D262" s="8" t="s">
        <v>913</v>
      </c>
      <c r="E262" s="8" t="s">
        <v>914</v>
      </c>
      <c r="F262" s="141">
        <v>5.3200000000000001E-3</v>
      </c>
      <c r="G262" s="141">
        <v>1.9000000000000001E-4</v>
      </c>
      <c r="H262" s="141"/>
      <c r="I262" s="8" t="s">
        <v>319</v>
      </c>
      <c r="J262" s="8" t="s">
        <v>264</v>
      </c>
      <c r="K262" s="8">
        <v>2022</v>
      </c>
      <c r="L262" s="8" t="s">
        <v>596</v>
      </c>
    </row>
    <row r="263" spans="1:12" x14ac:dyDescent="0.35">
      <c r="A263" s="8" t="s">
        <v>323</v>
      </c>
      <c r="B263" s="8" t="s">
        <v>564</v>
      </c>
      <c r="C263" s="8" t="s">
        <v>915</v>
      </c>
      <c r="D263" s="8" t="s">
        <v>915</v>
      </c>
      <c r="E263" s="8" t="s">
        <v>916</v>
      </c>
      <c r="F263" s="141">
        <v>6.3559999999999992E-2</v>
      </c>
      <c r="G263" s="141">
        <v>2.2699999999999999E-3</v>
      </c>
      <c r="H263" s="141"/>
      <c r="I263" s="8" t="s">
        <v>319</v>
      </c>
      <c r="J263" s="8" t="s">
        <v>264</v>
      </c>
      <c r="K263" s="8">
        <v>2022</v>
      </c>
      <c r="L263" s="8" t="s">
        <v>596</v>
      </c>
    </row>
    <row r="264" spans="1:12" x14ac:dyDescent="0.35">
      <c r="A264" s="8" t="s">
        <v>323</v>
      </c>
      <c r="B264" s="8" t="s">
        <v>565</v>
      </c>
      <c r="C264" s="8" t="s">
        <v>917</v>
      </c>
      <c r="D264" s="8" t="s">
        <v>917</v>
      </c>
      <c r="E264" s="8" t="s">
        <v>918</v>
      </c>
      <c r="F264" s="141">
        <v>3.6400000000000004E-3</v>
      </c>
      <c r="G264" s="141">
        <v>1.3000000000000002E-4</v>
      </c>
      <c r="H264" s="141"/>
      <c r="I264" s="8" t="s">
        <v>319</v>
      </c>
      <c r="J264" s="8" t="s">
        <v>264</v>
      </c>
      <c r="K264" s="8">
        <v>2022</v>
      </c>
      <c r="L264" s="8" t="s">
        <v>596</v>
      </c>
    </row>
    <row r="265" spans="1:12" x14ac:dyDescent="0.35">
      <c r="A265" s="8" t="s">
        <v>323</v>
      </c>
      <c r="B265" s="8" t="s">
        <v>566</v>
      </c>
      <c r="C265" s="8" t="s">
        <v>919</v>
      </c>
      <c r="D265" s="8" t="s">
        <v>919</v>
      </c>
      <c r="E265" s="8" t="s">
        <v>920</v>
      </c>
      <c r="F265" s="141">
        <v>4.3679999999999997E-2</v>
      </c>
      <c r="G265" s="141">
        <v>1.56E-3</v>
      </c>
      <c r="H265" s="141"/>
      <c r="I265" s="8" t="s">
        <v>319</v>
      </c>
      <c r="J265" s="8" t="s">
        <v>264</v>
      </c>
      <c r="K265" s="8">
        <v>2022</v>
      </c>
      <c r="L265" s="8" t="s">
        <v>596</v>
      </c>
    </row>
    <row r="266" spans="1:12" x14ac:dyDescent="0.35">
      <c r="A266" s="8" t="s">
        <v>323</v>
      </c>
      <c r="B266" s="8" t="s">
        <v>567</v>
      </c>
      <c r="C266" s="8" t="s">
        <v>921</v>
      </c>
      <c r="D266" s="8" t="s">
        <v>921</v>
      </c>
      <c r="E266" s="8" t="s">
        <v>922</v>
      </c>
      <c r="F266" s="141">
        <v>5.6000000000000006E-4</v>
      </c>
      <c r="G266" s="141">
        <v>2.0000000000000002E-5</v>
      </c>
      <c r="H266" s="141"/>
      <c r="I266" s="8" t="s">
        <v>319</v>
      </c>
      <c r="J266" s="8" t="s">
        <v>264</v>
      </c>
      <c r="K266" s="8">
        <v>2022</v>
      </c>
      <c r="L266" s="8" t="s">
        <v>596</v>
      </c>
    </row>
    <row r="267" spans="1:12" x14ac:dyDescent="0.35">
      <c r="A267" s="8" t="s">
        <v>323</v>
      </c>
      <c r="B267" s="8" t="s">
        <v>568</v>
      </c>
      <c r="C267" s="8" t="s">
        <v>923</v>
      </c>
      <c r="D267" s="8" t="s">
        <v>923</v>
      </c>
      <c r="E267" s="8" t="s">
        <v>924</v>
      </c>
      <c r="F267" s="141">
        <v>2.2400000000000002E-3</v>
      </c>
      <c r="G267" s="141">
        <v>8.0000000000000007E-5</v>
      </c>
      <c r="H267" s="141"/>
      <c r="I267" s="8" t="s">
        <v>319</v>
      </c>
      <c r="J267" s="8" t="s">
        <v>264</v>
      </c>
      <c r="K267" s="8">
        <v>2022</v>
      </c>
      <c r="L267" s="8" t="s">
        <v>596</v>
      </c>
    </row>
    <row r="268" spans="1:12" x14ac:dyDescent="0.35">
      <c r="A268" s="8" t="s">
        <v>300</v>
      </c>
      <c r="B268" s="8" t="s">
        <v>270</v>
      </c>
      <c r="C268" s="8" t="s">
        <v>270</v>
      </c>
      <c r="D268" s="8" t="s">
        <v>270</v>
      </c>
      <c r="E268" s="8" t="s">
        <v>270</v>
      </c>
      <c r="F268" s="141">
        <v>1E-3</v>
      </c>
      <c r="G268" s="141"/>
      <c r="H268" s="141"/>
      <c r="I268" s="8" t="s">
        <v>86</v>
      </c>
      <c r="J268" s="8" t="s">
        <v>264</v>
      </c>
      <c r="K268" s="8">
        <v>2022</v>
      </c>
      <c r="L268" s="8" t="s">
        <v>289</v>
      </c>
    </row>
    <row r="269" spans="1:12" x14ac:dyDescent="0.35">
      <c r="A269" s="8" t="s">
        <v>312</v>
      </c>
      <c r="B269" s="8" t="s">
        <v>1180</v>
      </c>
      <c r="C269" s="8" t="s">
        <v>1180</v>
      </c>
      <c r="D269" s="8" t="s">
        <v>1180</v>
      </c>
      <c r="E269" s="8" t="s">
        <v>1180</v>
      </c>
      <c r="F269" s="141">
        <v>1.9774999999999998E-4</v>
      </c>
      <c r="G269" s="141"/>
      <c r="H269" s="141"/>
      <c r="I269" s="8" t="s">
        <v>287</v>
      </c>
      <c r="J269" s="8" t="s">
        <v>264</v>
      </c>
      <c r="K269" s="8">
        <v>2022</v>
      </c>
      <c r="L269" s="8" t="s">
        <v>289</v>
      </c>
    </row>
    <row r="270" spans="1:12" x14ac:dyDescent="0.35">
      <c r="A270" s="8" t="s">
        <v>312</v>
      </c>
      <c r="B270" s="8" t="s">
        <v>1177</v>
      </c>
      <c r="C270" s="8" t="s">
        <v>1177</v>
      </c>
      <c r="D270" s="8" t="s">
        <v>1177</v>
      </c>
      <c r="E270" s="8" t="s">
        <v>1177</v>
      </c>
      <c r="F270" s="141">
        <v>1.7516999999999999E-4</v>
      </c>
      <c r="G270" s="141"/>
      <c r="H270" s="141"/>
      <c r="I270" s="8" t="s">
        <v>287</v>
      </c>
      <c r="J270" s="8" t="s">
        <v>264</v>
      </c>
      <c r="K270" s="8">
        <v>2022</v>
      </c>
      <c r="L270" s="8" t="s">
        <v>289</v>
      </c>
    </row>
    <row r="271" spans="1:12" x14ac:dyDescent="0.35">
      <c r="A271" s="8" t="s">
        <v>312</v>
      </c>
      <c r="B271" s="8" t="s">
        <v>1176</v>
      </c>
      <c r="C271" s="8" t="s">
        <v>1176</v>
      </c>
      <c r="D271" s="8" t="s">
        <v>1176</v>
      </c>
      <c r="E271" s="8" t="s">
        <v>1176</v>
      </c>
      <c r="F271" s="141">
        <v>1.7082414000000001E-4</v>
      </c>
      <c r="G271" s="141"/>
      <c r="H271" s="141"/>
      <c r="I271" s="8" t="s">
        <v>287</v>
      </c>
      <c r="J271" s="8" t="s">
        <v>264</v>
      </c>
      <c r="K271" s="8">
        <v>2022</v>
      </c>
      <c r="L271" s="8" t="s">
        <v>289</v>
      </c>
    </row>
    <row r="272" spans="1:12" x14ac:dyDescent="0.35">
      <c r="A272" s="8" t="s">
        <v>312</v>
      </c>
      <c r="B272" s="8" t="s">
        <v>1181</v>
      </c>
      <c r="C272" s="8" t="s">
        <v>1181</v>
      </c>
      <c r="D272" s="8" t="s">
        <v>1181</v>
      </c>
      <c r="E272" s="8" t="s">
        <v>1181</v>
      </c>
      <c r="F272" s="141">
        <v>1.2004000000000001E-4</v>
      </c>
      <c r="G272" s="141"/>
      <c r="H272" s="141"/>
      <c r="I272" s="8" t="s">
        <v>287</v>
      </c>
      <c r="J272" s="8" t="s">
        <v>264</v>
      </c>
      <c r="K272" s="8">
        <v>2022</v>
      </c>
      <c r="L272" s="8" t="s">
        <v>289</v>
      </c>
    </row>
    <row r="273" spans="1:12" x14ac:dyDescent="0.35">
      <c r="A273" s="8" t="s">
        <v>312</v>
      </c>
      <c r="B273" s="8" t="s">
        <v>1178</v>
      </c>
      <c r="C273" s="8" t="s">
        <v>1178</v>
      </c>
      <c r="D273" s="8" t="s">
        <v>1178</v>
      </c>
      <c r="E273" s="8" t="s">
        <v>1178</v>
      </c>
      <c r="F273" s="141">
        <v>1.7047999999999998E-4</v>
      </c>
      <c r="G273" s="141"/>
      <c r="H273" s="141"/>
      <c r="I273" s="8" t="s">
        <v>287</v>
      </c>
      <c r="J273" s="8" t="s">
        <v>264</v>
      </c>
      <c r="K273" s="8">
        <v>2022</v>
      </c>
      <c r="L273" s="8" t="s">
        <v>289</v>
      </c>
    </row>
    <row r="274" spans="1:12" x14ac:dyDescent="0.35">
      <c r="A274" s="8" t="s">
        <v>312</v>
      </c>
      <c r="B274" s="8" t="s">
        <v>1179</v>
      </c>
      <c r="C274" s="8" t="s">
        <v>1179</v>
      </c>
      <c r="D274" s="8" t="s">
        <v>1179</v>
      </c>
      <c r="E274" s="8" t="s">
        <v>1179</v>
      </c>
      <c r="F274" s="141">
        <v>1.7066999999999999E-4</v>
      </c>
      <c r="G274" s="141"/>
      <c r="H274" s="141"/>
      <c r="I274" s="8" t="s">
        <v>287</v>
      </c>
      <c r="J274" s="8" t="s">
        <v>264</v>
      </c>
      <c r="K274" s="8">
        <v>2022</v>
      </c>
      <c r="L274" s="8" t="s">
        <v>289</v>
      </c>
    </row>
    <row r="275" spans="1:12" x14ac:dyDescent="0.35">
      <c r="A275" s="8" t="s">
        <v>300</v>
      </c>
      <c r="B275" s="8" t="s">
        <v>307</v>
      </c>
      <c r="C275" s="8" t="s">
        <v>307</v>
      </c>
      <c r="D275" s="8" t="s">
        <v>307</v>
      </c>
      <c r="E275" s="8" t="s">
        <v>307</v>
      </c>
      <c r="F275" s="141">
        <v>1.0999999999999998E-3</v>
      </c>
      <c r="G275" s="141"/>
      <c r="H275" s="141"/>
      <c r="I275" s="8" t="s">
        <v>86</v>
      </c>
      <c r="J275" s="8" t="s">
        <v>264</v>
      </c>
      <c r="K275" s="8">
        <v>2022</v>
      </c>
      <c r="L275" s="8" t="s">
        <v>289</v>
      </c>
    </row>
    <row r="276" spans="1:12" x14ac:dyDescent="0.35">
      <c r="A276" s="8" t="s">
        <v>300</v>
      </c>
      <c r="B276" s="8" t="s">
        <v>303</v>
      </c>
      <c r="C276" s="8" t="s">
        <v>303</v>
      </c>
      <c r="D276" s="8" t="s">
        <v>303</v>
      </c>
      <c r="E276" s="8" t="s">
        <v>303</v>
      </c>
      <c r="F276" s="141">
        <v>1.4299999999999998E-3</v>
      </c>
      <c r="G276" s="141"/>
      <c r="H276" s="141"/>
      <c r="I276" s="8" t="s">
        <v>86</v>
      </c>
      <c r="J276" s="8" t="s">
        <v>264</v>
      </c>
      <c r="K276" s="8">
        <v>2022</v>
      </c>
      <c r="L276" s="8" t="s">
        <v>289</v>
      </c>
    </row>
    <row r="277" spans="1:12" x14ac:dyDescent="0.35">
      <c r="A277" s="8" t="s">
        <v>300</v>
      </c>
      <c r="B277" s="8" t="s">
        <v>304</v>
      </c>
      <c r="C277" s="8" t="s">
        <v>304</v>
      </c>
      <c r="D277" s="8" t="s">
        <v>304</v>
      </c>
      <c r="E277" s="8" t="s">
        <v>304</v>
      </c>
      <c r="F277" s="141">
        <v>2.9999999999999997E-6</v>
      </c>
      <c r="G277" s="141"/>
      <c r="H277" s="141"/>
      <c r="I277" s="8" t="s">
        <v>86</v>
      </c>
      <c r="J277" s="8" t="s">
        <v>264</v>
      </c>
      <c r="K277" s="8">
        <v>2022</v>
      </c>
      <c r="L277" s="8" t="s">
        <v>289</v>
      </c>
    </row>
    <row r="278" spans="1:12" x14ac:dyDescent="0.35">
      <c r="A278" s="8" t="s">
        <v>300</v>
      </c>
      <c r="B278" s="8" t="s">
        <v>309</v>
      </c>
      <c r="C278" s="8" t="s">
        <v>309</v>
      </c>
      <c r="D278" s="8" t="s">
        <v>309</v>
      </c>
      <c r="E278" s="8" t="s">
        <v>309</v>
      </c>
      <c r="F278" s="141">
        <v>6.7499999999999993E-4</v>
      </c>
      <c r="G278" s="141"/>
      <c r="H278" s="141"/>
      <c r="I278" s="8" t="s">
        <v>86</v>
      </c>
      <c r="J278" s="8" t="s">
        <v>264</v>
      </c>
      <c r="K278" s="8">
        <v>2022</v>
      </c>
      <c r="L278" s="8" t="s">
        <v>289</v>
      </c>
    </row>
    <row r="279" spans="1:12" x14ac:dyDescent="0.35">
      <c r="A279" s="8" t="s">
        <v>300</v>
      </c>
      <c r="B279" s="8" t="s">
        <v>99</v>
      </c>
      <c r="C279" s="8" t="s">
        <v>99</v>
      </c>
      <c r="D279" s="8" t="s">
        <v>99</v>
      </c>
      <c r="E279" s="8" t="s">
        <v>99</v>
      </c>
      <c r="F279" s="141">
        <v>1.1819999999999999E-3</v>
      </c>
      <c r="G279" s="141"/>
      <c r="H279" s="141"/>
      <c r="I279" s="8" t="s">
        <v>86</v>
      </c>
      <c r="J279" s="8" t="s">
        <v>264</v>
      </c>
      <c r="K279" s="8">
        <v>2022</v>
      </c>
      <c r="L279" s="8" t="s">
        <v>289</v>
      </c>
    </row>
    <row r="280" spans="1:12" x14ac:dyDescent="0.35">
      <c r="A280" s="8" t="s">
        <v>300</v>
      </c>
      <c r="B280" s="8" t="s">
        <v>100</v>
      </c>
      <c r="C280" s="8" t="s">
        <v>100</v>
      </c>
      <c r="D280" s="8" t="s">
        <v>100</v>
      </c>
      <c r="E280" s="8" t="s">
        <v>100</v>
      </c>
      <c r="F280" s="141">
        <v>1.2880000000000001E-3</v>
      </c>
      <c r="G280" s="141"/>
      <c r="H280" s="141"/>
      <c r="I280" s="8" t="s">
        <v>86</v>
      </c>
      <c r="J280" s="8" t="s">
        <v>264</v>
      </c>
      <c r="K280" s="8">
        <v>2022</v>
      </c>
      <c r="L280" s="8" t="s">
        <v>289</v>
      </c>
    </row>
    <row r="281" spans="1:12" x14ac:dyDescent="0.35">
      <c r="A281" s="8" t="s">
        <v>300</v>
      </c>
      <c r="B281" s="8" t="s">
        <v>101</v>
      </c>
      <c r="C281" s="8" t="s">
        <v>101</v>
      </c>
      <c r="D281" s="8" t="s">
        <v>101</v>
      </c>
      <c r="E281" s="8" t="s">
        <v>101</v>
      </c>
      <c r="F281" s="141">
        <v>9.3300000000000002E-4</v>
      </c>
      <c r="G281" s="141"/>
      <c r="H281" s="141"/>
      <c r="I281" s="8" t="s">
        <v>86</v>
      </c>
      <c r="J281" s="8" t="s">
        <v>264</v>
      </c>
      <c r="K281" s="8">
        <v>2022</v>
      </c>
      <c r="L281" s="8" t="s">
        <v>289</v>
      </c>
    </row>
    <row r="282" spans="1:12" x14ac:dyDescent="0.35">
      <c r="A282" s="8" t="s">
        <v>300</v>
      </c>
      <c r="B282" s="8" t="s">
        <v>102</v>
      </c>
      <c r="C282" s="8" t="s">
        <v>102</v>
      </c>
      <c r="D282" s="8" t="s">
        <v>102</v>
      </c>
      <c r="E282" s="8" t="s">
        <v>102</v>
      </c>
      <c r="F282" s="141">
        <v>2.7879999999999997E-3</v>
      </c>
      <c r="G282" s="141"/>
      <c r="H282" s="141"/>
      <c r="I282" s="8" t="s">
        <v>86</v>
      </c>
      <c r="J282" s="8" t="s">
        <v>264</v>
      </c>
      <c r="K282" s="8">
        <v>2022</v>
      </c>
      <c r="L282" s="8" t="s">
        <v>289</v>
      </c>
    </row>
    <row r="283" spans="1:12" x14ac:dyDescent="0.35">
      <c r="A283" s="8" t="s">
        <v>300</v>
      </c>
      <c r="B283" s="8" t="s">
        <v>103</v>
      </c>
      <c r="C283" s="8" t="s">
        <v>103</v>
      </c>
      <c r="D283" s="8" t="s">
        <v>103</v>
      </c>
      <c r="E283" s="8" t="s">
        <v>103</v>
      </c>
      <c r="F283" s="141">
        <v>2.4159999999999997E-3</v>
      </c>
      <c r="G283" s="141"/>
      <c r="H283" s="141"/>
      <c r="I283" s="8" t="s">
        <v>86</v>
      </c>
      <c r="J283" s="8" t="s">
        <v>264</v>
      </c>
      <c r="K283" s="8">
        <v>2022</v>
      </c>
      <c r="L283" s="8" t="s">
        <v>289</v>
      </c>
    </row>
    <row r="284" spans="1:12" x14ac:dyDescent="0.35">
      <c r="A284" s="8" t="s">
        <v>300</v>
      </c>
      <c r="B284" s="8" t="s">
        <v>105</v>
      </c>
      <c r="C284" s="8" t="s">
        <v>105</v>
      </c>
      <c r="D284" s="8" t="s">
        <v>105</v>
      </c>
      <c r="E284" s="8" t="s">
        <v>105</v>
      </c>
      <c r="F284" s="141">
        <v>3.124E-3</v>
      </c>
      <c r="G284" s="141"/>
      <c r="H284" s="141"/>
      <c r="I284" s="8" t="s">
        <v>86</v>
      </c>
      <c r="J284" s="8" t="s">
        <v>264</v>
      </c>
      <c r="K284" s="8">
        <v>2022</v>
      </c>
      <c r="L284" s="8" t="s">
        <v>289</v>
      </c>
    </row>
    <row r="285" spans="1:12" x14ac:dyDescent="0.35">
      <c r="A285" s="8" t="s">
        <v>300</v>
      </c>
      <c r="B285" s="8" t="s">
        <v>107</v>
      </c>
      <c r="C285" s="8" t="s">
        <v>107</v>
      </c>
      <c r="D285" s="8" t="s">
        <v>107</v>
      </c>
      <c r="E285" s="8" t="s">
        <v>107</v>
      </c>
      <c r="F285" s="141">
        <v>4.457E-3</v>
      </c>
      <c r="G285" s="141"/>
      <c r="H285" s="141"/>
      <c r="I285" s="8" t="s">
        <v>86</v>
      </c>
      <c r="J285" s="8" t="s">
        <v>264</v>
      </c>
      <c r="K285" s="8">
        <v>2022</v>
      </c>
      <c r="L285" s="8" t="s">
        <v>289</v>
      </c>
    </row>
    <row r="286" spans="1:12" x14ac:dyDescent="0.35">
      <c r="A286" s="8" t="s">
        <v>300</v>
      </c>
      <c r="B286" s="8" t="s">
        <v>108</v>
      </c>
      <c r="C286" s="8" t="s">
        <v>108</v>
      </c>
      <c r="D286" s="8" t="s">
        <v>108</v>
      </c>
      <c r="E286" s="8" t="s">
        <v>108</v>
      </c>
      <c r="F286" s="141">
        <v>3.9215999999999999E-3</v>
      </c>
      <c r="G286" s="141"/>
      <c r="H286" s="141"/>
      <c r="I286" s="8" t="s">
        <v>86</v>
      </c>
      <c r="J286" s="8" t="s">
        <v>264</v>
      </c>
      <c r="K286" s="8">
        <v>2022</v>
      </c>
      <c r="L286" s="8" t="s">
        <v>289</v>
      </c>
    </row>
    <row r="287" spans="1:12" x14ac:dyDescent="0.35">
      <c r="A287" s="8" t="s">
        <v>300</v>
      </c>
      <c r="B287" s="8" t="s">
        <v>109</v>
      </c>
      <c r="C287" s="8" t="s">
        <v>109</v>
      </c>
      <c r="D287" s="8" t="s">
        <v>109</v>
      </c>
      <c r="E287" s="8" t="s">
        <v>109</v>
      </c>
      <c r="F287" s="141">
        <v>4.7160000000000006E-3</v>
      </c>
      <c r="G287" s="141"/>
      <c r="H287" s="141"/>
      <c r="I287" s="8" t="s">
        <v>86</v>
      </c>
      <c r="J287" s="8" t="s">
        <v>264</v>
      </c>
      <c r="K287" s="8">
        <v>2022</v>
      </c>
      <c r="L287" s="8" t="s">
        <v>289</v>
      </c>
    </row>
    <row r="288" spans="1:12" x14ac:dyDescent="0.35">
      <c r="A288" s="8" t="s">
        <v>300</v>
      </c>
      <c r="B288" s="8" t="s">
        <v>110</v>
      </c>
      <c r="C288" s="8" t="s">
        <v>110</v>
      </c>
      <c r="D288" s="8" t="s">
        <v>110</v>
      </c>
      <c r="E288" s="8" t="s">
        <v>110</v>
      </c>
      <c r="F288" s="141">
        <v>1.9430000000000001E-3</v>
      </c>
      <c r="G288" s="141"/>
      <c r="H288" s="141"/>
      <c r="I288" s="8" t="s">
        <v>86</v>
      </c>
      <c r="J288" s="8" t="s">
        <v>264</v>
      </c>
      <c r="K288" s="8">
        <v>2022</v>
      </c>
      <c r="L288" s="8" t="s">
        <v>289</v>
      </c>
    </row>
    <row r="289" spans="1:12" x14ac:dyDescent="0.35">
      <c r="A289" s="8" t="s">
        <v>300</v>
      </c>
      <c r="B289" s="8" t="s">
        <v>111</v>
      </c>
      <c r="C289" s="8" t="s">
        <v>111</v>
      </c>
      <c r="D289" s="8" t="s">
        <v>111</v>
      </c>
      <c r="E289" s="8" t="s">
        <v>111</v>
      </c>
      <c r="F289" s="141">
        <v>2.1070000000000004E-3</v>
      </c>
      <c r="G289" s="141"/>
      <c r="H289" s="141"/>
      <c r="I289" s="8" t="s">
        <v>86</v>
      </c>
      <c r="J289" s="8" t="s">
        <v>264</v>
      </c>
      <c r="K289" s="8">
        <v>2022</v>
      </c>
      <c r="L289" s="8" t="s">
        <v>289</v>
      </c>
    </row>
    <row r="290" spans="1:12" x14ac:dyDescent="0.35">
      <c r="A290" s="8" t="s">
        <v>300</v>
      </c>
      <c r="B290" s="8" t="s">
        <v>112</v>
      </c>
      <c r="C290" s="8" t="s">
        <v>112</v>
      </c>
      <c r="D290" s="8" t="s">
        <v>112</v>
      </c>
      <c r="E290" s="8" t="s">
        <v>112</v>
      </c>
      <c r="F290" s="141">
        <v>2.8039999999999996E-3</v>
      </c>
      <c r="G290" s="141"/>
      <c r="H290" s="141"/>
      <c r="I290" s="8" t="s">
        <v>86</v>
      </c>
      <c r="J290" s="8" t="s">
        <v>264</v>
      </c>
      <c r="K290" s="8">
        <v>2022</v>
      </c>
      <c r="L290" s="8" t="s">
        <v>289</v>
      </c>
    </row>
    <row r="291" spans="1:12" x14ac:dyDescent="0.35">
      <c r="A291" s="8" t="s">
        <v>300</v>
      </c>
      <c r="B291" s="8" t="s">
        <v>113</v>
      </c>
      <c r="C291" s="8" t="s">
        <v>113</v>
      </c>
      <c r="D291" s="8" t="s">
        <v>113</v>
      </c>
      <c r="E291" s="8" t="s">
        <v>113</v>
      </c>
      <c r="F291" s="141">
        <v>1.77385E-3</v>
      </c>
      <c r="G291" s="141"/>
      <c r="H291" s="141"/>
      <c r="I291" s="8" t="s">
        <v>86</v>
      </c>
      <c r="J291" s="8" t="s">
        <v>264</v>
      </c>
      <c r="K291" s="8">
        <v>2022</v>
      </c>
      <c r="L291" s="8" t="s">
        <v>289</v>
      </c>
    </row>
    <row r="292" spans="1:12" x14ac:dyDescent="0.35">
      <c r="A292" s="8" t="s">
        <v>300</v>
      </c>
      <c r="B292" s="8" t="s">
        <v>114</v>
      </c>
      <c r="C292" s="8" t="s">
        <v>114</v>
      </c>
      <c r="D292" s="8" t="s">
        <v>114</v>
      </c>
      <c r="E292" s="8" t="s">
        <v>114</v>
      </c>
      <c r="F292" s="141">
        <v>1.627E-3</v>
      </c>
      <c r="G292" s="141"/>
      <c r="H292" s="141"/>
      <c r="I292" s="8" t="s">
        <v>86</v>
      </c>
      <c r="J292" s="8" t="s">
        <v>264</v>
      </c>
      <c r="K292" s="8">
        <v>2022</v>
      </c>
      <c r="L292" s="8" t="s">
        <v>289</v>
      </c>
    </row>
    <row r="293" spans="1:12" x14ac:dyDescent="0.35">
      <c r="A293" s="8" t="s">
        <v>300</v>
      </c>
      <c r="B293" s="8" t="s">
        <v>115</v>
      </c>
      <c r="C293" s="8" t="s">
        <v>115</v>
      </c>
      <c r="D293" s="8" t="s">
        <v>115</v>
      </c>
      <c r="E293" s="8" t="s">
        <v>115</v>
      </c>
      <c r="F293" s="141">
        <v>1.552E-3</v>
      </c>
      <c r="G293" s="141"/>
      <c r="H293" s="141"/>
      <c r="I293" s="8" t="s">
        <v>86</v>
      </c>
      <c r="J293" s="8" t="s">
        <v>264</v>
      </c>
      <c r="K293" s="8">
        <v>2022</v>
      </c>
      <c r="L293" s="8" t="s">
        <v>289</v>
      </c>
    </row>
    <row r="294" spans="1:12" x14ac:dyDescent="0.35">
      <c r="A294" s="8" t="s">
        <v>300</v>
      </c>
      <c r="B294" s="8" t="s">
        <v>116</v>
      </c>
      <c r="C294" s="8" t="s">
        <v>116</v>
      </c>
      <c r="D294" s="8" t="s">
        <v>116</v>
      </c>
      <c r="E294" s="8" t="s">
        <v>116</v>
      </c>
      <c r="F294" s="141">
        <v>1.8250000000000002E-3</v>
      </c>
      <c r="G294" s="141"/>
      <c r="H294" s="141"/>
      <c r="I294" s="8" t="s">
        <v>86</v>
      </c>
      <c r="J294" s="8" t="s">
        <v>264</v>
      </c>
      <c r="K294" s="8">
        <v>2022</v>
      </c>
      <c r="L294" s="8" t="s">
        <v>289</v>
      </c>
    </row>
    <row r="295" spans="1:12" x14ac:dyDescent="0.35">
      <c r="A295" s="8" t="s">
        <v>300</v>
      </c>
      <c r="B295" s="8" t="s">
        <v>117</v>
      </c>
      <c r="C295" s="8" t="s">
        <v>117</v>
      </c>
      <c r="D295" s="8" t="s">
        <v>117</v>
      </c>
      <c r="E295" s="8" t="s">
        <v>117</v>
      </c>
      <c r="F295" s="141">
        <v>3.1520000000000003E-3</v>
      </c>
      <c r="G295" s="141"/>
      <c r="H295" s="141"/>
      <c r="I295" s="8" t="s">
        <v>86</v>
      </c>
      <c r="J295" s="8" t="s">
        <v>264</v>
      </c>
      <c r="K295" s="8">
        <v>2022</v>
      </c>
      <c r="L295" s="8" t="s">
        <v>289</v>
      </c>
    </row>
    <row r="296" spans="1:12" x14ac:dyDescent="0.35">
      <c r="A296" s="8" t="s">
        <v>300</v>
      </c>
      <c r="B296" s="8" t="s">
        <v>118</v>
      </c>
      <c r="C296" s="8" t="s">
        <v>118</v>
      </c>
      <c r="D296" s="8" t="s">
        <v>118</v>
      </c>
      <c r="E296" s="8" t="s">
        <v>118</v>
      </c>
      <c r="F296" s="141">
        <v>1.585E-3</v>
      </c>
      <c r="G296" s="141"/>
      <c r="H296" s="141"/>
      <c r="I296" s="8" t="s">
        <v>86</v>
      </c>
      <c r="J296" s="8" t="s">
        <v>264</v>
      </c>
      <c r="K296" s="8">
        <v>2022</v>
      </c>
      <c r="L296" s="8" t="s">
        <v>289</v>
      </c>
    </row>
    <row r="297" spans="1:12" x14ac:dyDescent="0.35">
      <c r="A297" s="8" t="s">
        <v>300</v>
      </c>
      <c r="B297" s="8" t="s">
        <v>119</v>
      </c>
      <c r="C297" s="8" t="s">
        <v>119</v>
      </c>
      <c r="D297" s="8" t="s">
        <v>119</v>
      </c>
      <c r="E297" s="8" t="s">
        <v>119</v>
      </c>
      <c r="F297" s="141">
        <v>1.56E-3</v>
      </c>
      <c r="G297" s="141"/>
      <c r="H297" s="141"/>
      <c r="I297" s="8" t="s">
        <v>86</v>
      </c>
      <c r="J297" s="8" t="s">
        <v>264</v>
      </c>
      <c r="K297" s="8">
        <v>2022</v>
      </c>
      <c r="L297" s="8" t="s">
        <v>289</v>
      </c>
    </row>
    <row r="298" spans="1:12" x14ac:dyDescent="0.35">
      <c r="A298" s="8" t="s">
        <v>300</v>
      </c>
      <c r="B298" s="8" t="s">
        <v>120</v>
      </c>
      <c r="C298" s="8" t="s">
        <v>120</v>
      </c>
      <c r="D298" s="8" t="s">
        <v>120</v>
      </c>
      <c r="E298" s="8" t="s">
        <v>120</v>
      </c>
      <c r="F298" s="141">
        <v>2.0874999999999999E-3</v>
      </c>
      <c r="G298" s="141"/>
      <c r="H298" s="141"/>
      <c r="I298" s="8" t="s">
        <v>86</v>
      </c>
      <c r="J298" s="8" t="s">
        <v>264</v>
      </c>
      <c r="K298" s="8">
        <v>2022</v>
      </c>
      <c r="L298" s="8" t="s">
        <v>289</v>
      </c>
    </row>
    <row r="299" spans="1:12" x14ac:dyDescent="0.35">
      <c r="A299" s="8" t="s">
        <v>300</v>
      </c>
      <c r="B299" s="8" t="s">
        <v>121</v>
      </c>
      <c r="C299" s="8" t="s">
        <v>121</v>
      </c>
      <c r="D299" s="8" t="s">
        <v>121</v>
      </c>
      <c r="E299" s="8" t="s">
        <v>121</v>
      </c>
      <c r="F299" s="141">
        <v>2.2290000000000001E-3</v>
      </c>
      <c r="G299" s="141"/>
      <c r="H299" s="141"/>
      <c r="I299" s="8" t="s">
        <v>86</v>
      </c>
      <c r="J299" s="8" t="s">
        <v>264</v>
      </c>
      <c r="K299" s="8">
        <v>2022</v>
      </c>
      <c r="L299" s="8" t="s">
        <v>289</v>
      </c>
    </row>
    <row r="300" spans="1:12" x14ac:dyDescent="0.35">
      <c r="A300" s="8" t="s">
        <v>300</v>
      </c>
      <c r="B300" s="8" t="s">
        <v>122</v>
      </c>
      <c r="C300" s="8" t="s">
        <v>122</v>
      </c>
      <c r="D300" s="8" t="s">
        <v>122</v>
      </c>
      <c r="E300" s="8" t="s">
        <v>122</v>
      </c>
      <c r="F300" s="141">
        <v>1.5969999999999999E-3</v>
      </c>
      <c r="G300" s="141"/>
      <c r="H300" s="141"/>
      <c r="I300" s="8" t="s">
        <v>86</v>
      </c>
      <c r="J300" s="8" t="s">
        <v>264</v>
      </c>
      <c r="K300" s="8">
        <v>2022</v>
      </c>
      <c r="L300" s="8" t="s">
        <v>289</v>
      </c>
    </row>
    <row r="301" spans="1:12" x14ac:dyDescent="0.35">
      <c r="A301" s="8" t="s">
        <v>300</v>
      </c>
      <c r="B301" s="8" t="s">
        <v>123</v>
      </c>
      <c r="C301" s="8" t="s">
        <v>123</v>
      </c>
      <c r="D301" s="8" t="s">
        <v>123</v>
      </c>
      <c r="E301" s="8" t="s">
        <v>123</v>
      </c>
      <c r="F301" s="141">
        <v>1.7050000000000001E-3</v>
      </c>
      <c r="G301" s="141"/>
      <c r="H301" s="141"/>
      <c r="I301" s="8" t="s">
        <v>86</v>
      </c>
      <c r="J301" s="8" t="s">
        <v>264</v>
      </c>
      <c r="K301" s="8">
        <v>2022</v>
      </c>
      <c r="L301" s="8" t="s">
        <v>289</v>
      </c>
    </row>
    <row r="302" spans="1:12" x14ac:dyDescent="0.35">
      <c r="A302" s="8" t="s">
        <v>300</v>
      </c>
      <c r="B302" s="8" t="s">
        <v>124</v>
      </c>
      <c r="C302" s="8" t="s">
        <v>124</v>
      </c>
      <c r="D302" s="8" t="s">
        <v>124</v>
      </c>
      <c r="E302" s="8" t="s">
        <v>124</v>
      </c>
      <c r="F302" s="141">
        <v>2.2859999999999998E-3</v>
      </c>
      <c r="G302" s="141"/>
      <c r="H302" s="141"/>
      <c r="I302" s="8" t="s">
        <v>86</v>
      </c>
      <c r="J302" s="8" t="s">
        <v>264</v>
      </c>
      <c r="K302" s="8">
        <v>2022</v>
      </c>
      <c r="L302" s="8" t="s">
        <v>289</v>
      </c>
    </row>
    <row r="303" spans="1:12" x14ac:dyDescent="0.35">
      <c r="A303" s="8" t="s">
        <v>300</v>
      </c>
      <c r="B303" s="8" t="s">
        <v>125</v>
      </c>
      <c r="C303" s="8" t="s">
        <v>125</v>
      </c>
      <c r="D303" s="8" t="s">
        <v>125</v>
      </c>
      <c r="E303" s="8" t="s">
        <v>125</v>
      </c>
      <c r="F303" s="141">
        <v>2.0530000000000001E-3</v>
      </c>
      <c r="G303" s="141"/>
      <c r="H303" s="141"/>
      <c r="I303" s="8" t="s">
        <v>86</v>
      </c>
      <c r="J303" s="8" t="s">
        <v>264</v>
      </c>
      <c r="K303" s="8">
        <v>2022</v>
      </c>
      <c r="L303" s="8" t="s">
        <v>289</v>
      </c>
    </row>
    <row r="304" spans="1:12" x14ac:dyDescent="0.35">
      <c r="A304" s="8" t="s">
        <v>300</v>
      </c>
      <c r="B304" s="8" t="s">
        <v>126</v>
      </c>
      <c r="C304" s="8" t="s">
        <v>126</v>
      </c>
      <c r="D304" s="8" t="s">
        <v>126</v>
      </c>
      <c r="E304" s="8" t="s">
        <v>126</v>
      </c>
      <c r="F304" s="141">
        <v>1.4779999999999999E-3</v>
      </c>
      <c r="G304" s="141"/>
      <c r="H304" s="141"/>
      <c r="I304" s="8" t="s">
        <v>86</v>
      </c>
      <c r="J304" s="8" t="s">
        <v>264</v>
      </c>
      <c r="K304" s="8">
        <v>2022</v>
      </c>
      <c r="L304" s="8" t="s">
        <v>289</v>
      </c>
    </row>
    <row r="305" spans="1:12" x14ac:dyDescent="0.35">
      <c r="A305" s="8" t="s">
        <v>300</v>
      </c>
      <c r="B305" s="8" t="s">
        <v>127</v>
      </c>
      <c r="C305" s="8" t="s">
        <v>127</v>
      </c>
      <c r="D305" s="8" t="s">
        <v>127</v>
      </c>
      <c r="E305" s="8" t="s">
        <v>127</v>
      </c>
      <c r="F305" s="141">
        <v>1.3620000000000001E-3</v>
      </c>
      <c r="G305" s="141"/>
      <c r="H305" s="141"/>
      <c r="I305" s="8" t="s">
        <v>86</v>
      </c>
      <c r="J305" s="8" t="s">
        <v>264</v>
      </c>
      <c r="K305" s="8">
        <v>2022</v>
      </c>
      <c r="L305" s="8" t="s">
        <v>289</v>
      </c>
    </row>
    <row r="306" spans="1:12" x14ac:dyDescent="0.35">
      <c r="A306" s="8" t="s">
        <v>300</v>
      </c>
      <c r="B306" s="8" t="s">
        <v>128</v>
      </c>
      <c r="C306" s="8" t="s">
        <v>128</v>
      </c>
      <c r="D306" s="8" t="s">
        <v>128</v>
      </c>
      <c r="E306" s="8" t="s">
        <v>128</v>
      </c>
      <c r="F306" s="141">
        <v>1.5069999999999999E-3</v>
      </c>
      <c r="G306" s="141"/>
      <c r="H306" s="141"/>
      <c r="I306" s="8" t="s">
        <v>86</v>
      </c>
      <c r="J306" s="8" t="s">
        <v>264</v>
      </c>
      <c r="K306" s="8">
        <v>2022</v>
      </c>
      <c r="L306" s="8" t="s">
        <v>289</v>
      </c>
    </row>
    <row r="307" spans="1:12" x14ac:dyDescent="0.35">
      <c r="A307" s="8" t="s">
        <v>300</v>
      </c>
      <c r="B307" s="8" t="s">
        <v>129</v>
      </c>
      <c r="C307" s="8" t="s">
        <v>129</v>
      </c>
      <c r="D307" s="8" t="s">
        <v>129</v>
      </c>
      <c r="E307" s="8" t="s">
        <v>129</v>
      </c>
      <c r="F307" s="141">
        <v>5.4600000000000004E-4</v>
      </c>
      <c r="G307" s="141"/>
      <c r="H307" s="141"/>
      <c r="I307" s="8" t="s">
        <v>86</v>
      </c>
      <c r="J307" s="8" t="s">
        <v>264</v>
      </c>
      <c r="K307" s="8">
        <v>2022</v>
      </c>
      <c r="L307" s="8" t="s">
        <v>289</v>
      </c>
    </row>
    <row r="308" spans="1:12" x14ac:dyDescent="0.35">
      <c r="A308" s="8" t="s">
        <v>300</v>
      </c>
      <c r="B308" s="8" t="s">
        <v>130</v>
      </c>
      <c r="C308" s="8" t="s">
        <v>130</v>
      </c>
      <c r="D308" s="8" t="s">
        <v>130</v>
      </c>
      <c r="E308" s="8" t="s">
        <v>130</v>
      </c>
      <c r="F308" s="141">
        <v>1.0840000000000001E-3</v>
      </c>
      <c r="G308" s="141"/>
      <c r="H308" s="141"/>
      <c r="I308" s="8" t="s">
        <v>86</v>
      </c>
      <c r="J308" s="8" t="s">
        <v>264</v>
      </c>
      <c r="K308" s="8">
        <v>2022</v>
      </c>
      <c r="L308" s="8" t="s">
        <v>289</v>
      </c>
    </row>
    <row r="309" spans="1:12" x14ac:dyDescent="0.35">
      <c r="A309" s="8" t="s">
        <v>300</v>
      </c>
      <c r="B309" s="8" t="s">
        <v>131</v>
      </c>
      <c r="C309" s="8" t="s">
        <v>131</v>
      </c>
      <c r="D309" s="8" t="s">
        <v>131</v>
      </c>
      <c r="E309" s="8" t="s">
        <v>131</v>
      </c>
      <c r="F309" s="141">
        <v>2.346E-3</v>
      </c>
      <c r="G309" s="141"/>
      <c r="H309" s="141"/>
      <c r="I309" s="8" t="s">
        <v>86</v>
      </c>
      <c r="J309" s="8" t="s">
        <v>264</v>
      </c>
      <c r="K309" s="8">
        <v>2022</v>
      </c>
      <c r="L309" s="8" t="s">
        <v>289</v>
      </c>
    </row>
    <row r="310" spans="1:12" x14ac:dyDescent="0.35">
      <c r="A310" s="8" t="s">
        <v>300</v>
      </c>
      <c r="B310" s="8" t="s">
        <v>132</v>
      </c>
      <c r="C310" s="8" t="s">
        <v>132</v>
      </c>
      <c r="D310" s="8" t="s">
        <v>132</v>
      </c>
      <c r="E310" s="8" t="s">
        <v>132</v>
      </c>
      <c r="F310" s="141">
        <v>3.0270000000000002E-3</v>
      </c>
      <c r="G310" s="141"/>
      <c r="H310" s="141"/>
      <c r="I310" s="8" t="s">
        <v>86</v>
      </c>
      <c r="J310" s="8" t="s">
        <v>264</v>
      </c>
      <c r="K310" s="8">
        <v>2022</v>
      </c>
      <c r="L310" s="8" t="s">
        <v>289</v>
      </c>
    </row>
    <row r="311" spans="1:12" x14ac:dyDescent="0.35">
      <c r="A311" s="8" t="s">
        <v>300</v>
      </c>
      <c r="B311" s="8" t="s">
        <v>133</v>
      </c>
      <c r="C311" s="8" t="s">
        <v>133</v>
      </c>
      <c r="D311" s="8" t="s">
        <v>133</v>
      </c>
      <c r="E311" s="8" t="s">
        <v>133</v>
      </c>
      <c r="F311" s="141">
        <v>1.8089999999999998E-3</v>
      </c>
      <c r="G311" s="141"/>
      <c r="H311" s="141"/>
      <c r="I311" s="8" t="s">
        <v>86</v>
      </c>
      <c r="J311" s="8" t="s">
        <v>264</v>
      </c>
      <c r="K311" s="8">
        <v>2022</v>
      </c>
      <c r="L311" s="8" t="s">
        <v>289</v>
      </c>
    </row>
    <row r="312" spans="1:12" x14ac:dyDescent="0.35">
      <c r="A312" s="8" t="s">
        <v>300</v>
      </c>
      <c r="B312" s="8" t="s">
        <v>134</v>
      </c>
      <c r="C312" s="8" t="s">
        <v>134</v>
      </c>
      <c r="D312" s="8" t="s">
        <v>134</v>
      </c>
      <c r="E312" s="8" t="s">
        <v>134</v>
      </c>
      <c r="F312" s="141">
        <v>1.7410000000000001E-3</v>
      </c>
      <c r="G312" s="141"/>
      <c r="H312" s="141"/>
      <c r="I312" s="8" t="s">
        <v>86</v>
      </c>
      <c r="J312" s="8" t="s">
        <v>264</v>
      </c>
      <c r="K312" s="8">
        <v>2022</v>
      </c>
      <c r="L312" s="8" t="s">
        <v>289</v>
      </c>
    </row>
    <row r="313" spans="1:12" x14ac:dyDescent="0.35">
      <c r="A313" s="8" t="s">
        <v>300</v>
      </c>
      <c r="B313" s="8" t="s">
        <v>135</v>
      </c>
      <c r="C313" s="8" t="s">
        <v>135</v>
      </c>
      <c r="D313" s="8" t="s">
        <v>135</v>
      </c>
      <c r="E313" s="8" t="s">
        <v>135</v>
      </c>
      <c r="F313" s="141">
        <v>2.967E-3</v>
      </c>
      <c r="G313" s="141"/>
      <c r="H313" s="141"/>
      <c r="I313" s="8" t="s">
        <v>86</v>
      </c>
      <c r="J313" s="8" t="s">
        <v>264</v>
      </c>
      <c r="K313" s="8">
        <v>2022</v>
      </c>
      <c r="L313" s="8" t="s">
        <v>289</v>
      </c>
    </row>
    <row r="314" spans="1:12" x14ac:dyDescent="0.35">
      <c r="A314" s="8" t="s">
        <v>300</v>
      </c>
      <c r="B314" s="8" t="s">
        <v>136</v>
      </c>
      <c r="C314" s="8" t="s">
        <v>136</v>
      </c>
      <c r="D314" s="8" t="s">
        <v>136</v>
      </c>
      <c r="E314" s="8" t="s">
        <v>136</v>
      </c>
      <c r="F314" s="141">
        <v>2.3839999999999998E-3</v>
      </c>
      <c r="G314" s="141"/>
      <c r="H314" s="141"/>
      <c r="I314" s="8" t="s">
        <v>86</v>
      </c>
      <c r="J314" s="8" t="s">
        <v>264</v>
      </c>
      <c r="K314" s="8">
        <v>2022</v>
      </c>
      <c r="L314" s="8" t="s">
        <v>289</v>
      </c>
    </row>
    <row r="315" spans="1:12" x14ac:dyDescent="0.35">
      <c r="A315" s="8" t="s">
        <v>300</v>
      </c>
      <c r="B315" s="8" t="s">
        <v>137</v>
      </c>
      <c r="C315" s="8" t="s">
        <v>137</v>
      </c>
      <c r="D315" s="8" t="s">
        <v>137</v>
      </c>
      <c r="E315" s="8" t="s">
        <v>137</v>
      </c>
      <c r="F315" s="141">
        <v>1.536E-3</v>
      </c>
      <c r="G315" s="141"/>
      <c r="H315" s="141"/>
      <c r="I315" s="8" t="s">
        <v>86</v>
      </c>
      <c r="J315" s="8" t="s">
        <v>264</v>
      </c>
      <c r="K315" s="8">
        <v>2022</v>
      </c>
      <c r="L315" s="8" t="s">
        <v>289</v>
      </c>
    </row>
    <row r="316" spans="1:12" x14ac:dyDescent="0.35">
      <c r="A316" s="8" t="s">
        <v>300</v>
      </c>
      <c r="B316" s="8" t="s">
        <v>138</v>
      </c>
      <c r="C316" s="8" t="s">
        <v>138</v>
      </c>
      <c r="D316" s="8" t="s">
        <v>138</v>
      </c>
      <c r="E316" s="8" t="s">
        <v>138</v>
      </c>
      <c r="F316" s="141">
        <v>2.6309999999999997E-3</v>
      </c>
      <c r="G316" s="141"/>
      <c r="H316" s="141"/>
      <c r="I316" s="8" t="s">
        <v>86</v>
      </c>
      <c r="J316" s="8" t="s">
        <v>264</v>
      </c>
      <c r="K316" s="8">
        <v>2022</v>
      </c>
      <c r="L316" s="8" t="s">
        <v>289</v>
      </c>
    </row>
    <row r="317" spans="1:12" x14ac:dyDescent="0.35">
      <c r="A317" s="8" t="s">
        <v>300</v>
      </c>
      <c r="B317" s="8" t="s">
        <v>139</v>
      </c>
      <c r="C317" s="8" t="s">
        <v>139</v>
      </c>
      <c r="D317" s="8" t="s">
        <v>139</v>
      </c>
      <c r="E317" s="8" t="s">
        <v>139</v>
      </c>
      <c r="F317" s="141">
        <v>3.1900000000000001E-3</v>
      </c>
      <c r="G317" s="141"/>
      <c r="H317" s="141"/>
      <c r="I317" s="8" t="s">
        <v>86</v>
      </c>
      <c r="J317" s="8" t="s">
        <v>264</v>
      </c>
      <c r="K317" s="8">
        <v>2022</v>
      </c>
      <c r="L317" s="8" t="s">
        <v>289</v>
      </c>
    </row>
    <row r="318" spans="1:12" x14ac:dyDescent="0.35">
      <c r="A318" s="8" t="s">
        <v>300</v>
      </c>
      <c r="B318" s="8" t="s">
        <v>140</v>
      </c>
      <c r="C318" s="8" t="s">
        <v>140</v>
      </c>
      <c r="D318" s="8" t="s">
        <v>140</v>
      </c>
      <c r="E318" s="8" t="s">
        <v>140</v>
      </c>
      <c r="F318" s="141">
        <v>3.143E-3</v>
      </c>
      <c r="G318" s="141"/>
      <c r="H318" s="141"/>
      <c r="I318" s="8" t="s">
        <v>86</v>
      </c>
      <c r="J318" s="8" t="s">
        <v>264</v>
      </c>
      <c r="K318" s="8">
        <v>2022</v>
      </c>
      <c r="L318" s="8" t="s">
        <v>289</v>
      </c>
    </row>
    <row r="319" spans="1:12" x14ac:dyDescent="0.35">
      <c r="A319" s="8" t="s">
        <v>300</v>
      </c>
      <c r="B319" s="8" t="s">
        <v>141</v>
      </c>
      <c r="C319" s="8" t="s">
        <v>141</v>
      </c>
      <c r="D319" s="8" t="s">
        <v>141</v>
      </c>
      <c r="E319" s="8" t="s">
        <v>141</v>
      </c>
      <c r="F319" s="141">
        <v>2.5259999999999996E-3</v>
      </c>
      <c r="G319" s="141"/>
      <c r="H319" s="141"/>
      <c r="I319" s="8" t="s">
        <v>86</v>
      </c>
      <c r="J319" s="8" t="s">
        <v>264</v>
      </c>
      <c r="K319" s="8">
        <v>2022</v>
      </c>
      <c r="L319" s="8" t="s">
        <v>289</v>
      </c>
    </row>
    <row r="320" spans="1:12" x14ac:dyDescent="0.35">
      <c r="A320" s="8" t="s">
        <v>300</v>
      </c>
      <c r="B320" s="8" t="s">
        <v>142</v>
      </c>
      <c r="C320" s="8" t="s">
        <v>142</v>
      </c>
      <c r="D320" s="8" t="s">
        <v>142</v>
      </c>
      <c r="E320" s="8" t="s">
        <v>142</v>
      </c>
      <c r="F320" s="141">
        <v>3.0850000000000001E-3</v>
      </c>
      <c r="G320" s="141"/>
      <c r="H320" s="141"/>
      <c r="I320" s="8" t="s">
        <v>86</v>
      </c>
      <c r="J320" s="8" t="s">
        <v>264</v>
      </c>
      <c r="K320" s="8">
        <v>2022</v>
      </c>
      <c r="L320" s="8" t="s">
        <v>289</v>
      </c>
    </row>
    <row r="321" spans="1:12" x14ac:dyDescent="0.35">
      <c r="A321" s="8" t="s">
        <v>300</v>
      </c>
      <c r="B321" s="8" t="s">
        <v>306</v>
      </c>
      <c r="C321" s="8" t="s">
        <v>306</v>
      </c>
      <c r="D321" s="8" t="s">
        <v>306</v>
      </c>
      <c r="E321" s="8" t="s">
        <v>306</v>
      </c>
      <c r="F321" s="141">
        <v>2.7290000000000001E-3</v>
      </c>
      <c r="G321" s="141"/>
      <c r="H321" s="141"/>
      <c r="I321" s="8" t="s">
        <v>86</v>
      </c>
      <c r="J321" s="8" t="s">
        <v>264</v>
      </c>
      <c r="K321" s="8">
        <v>2022</v>
      </c>
      <c r="L321" s="8" t="s">
        <v>289</v>
      </c>
    </row>
    <row r="322" spans="1:12" x14ac:dyDescent="0.35">
      <c r="A322" s="8" t="s">
        <v>300</v>
      </c>
      <c r="B322" s="8" t="s">
        <v>144</v>
      </c>
      <c r="C322" s="8" t="s">
        <v>144</v>
      </c>
      <c r="D322" s="8" t="s">
        <v>144</v>
      </c>
      <c r="E322" s="8" t="s">
        <v>144</v>
      </c>
      <c r="F322" s="141">
        <v>2.5920000000000001E-3</v>
      </c>
      <c r="G322" s="141"/>
      <c r="H322" s="141"/>
      <c r="I322" s="8" t="s">
        <v>86</v>
      </c>
      <c r="J322" s="8" t="s">
        <v>264</v>
      </c>
      <c r="K322" s="8">
        <v>2022</v>
      </c>
      <c r="L322" s="8" t="s">
        <v>289</v>
      </c>
    </row>
    <row r="323" spans="1:12" x14ac:dyDescent="0.35">
      <c r="A323" s="8" t="s">
        <v>300</v>
      </c>
      <c r="B323" s="8" t="s">
        <v>145</v>
      </c>
      <c r="C323" s="8" t="s">
        <v>145</v>
      </c>
      <c r="D323" s="8" t="s">
        <v>145</v>
      </c>
      <c r="E323" s="8" t="s">
        <v>145</v>
      </c>
      <c r="F323" s="141">
        <v>2.2799999999999999E-3</v>
      </c>
      <c r="G323" s="141"/>
      <c r="H323" s="141"/>
      <c r="I323" s="8" t="s">
        <v>86</v>
      </c>
      <c r="J323" s="8" t="s">
        <v>264</v>
      </c>
      <c r="K323" s="8">
        <v>2022</v>
      </c>
      <c r="L323" s="8" t="s">
        <v>289</v>
      </c>
    </row>
    <row r="324" spans="1:12" x14ac:dyDescent="0.35">
      <c r="A324" s="8" t="s">
        <v>300</v>
      </c>
      <c r="B324" s="8" t="s">
        <v>146</v>
      </c>
      <c r="C324" s="8" t="s">
        <v>146</v>
      </c>
      <c r="D324" s="8" t="s">
        <v>146</v>
      </c>
      <c r="E324" s="8" t="s">
        <v>146</v>
      </c>
      <c r="F324" s="141">
        <v>2.4399999999999999E-3</v>
      </c>
      <c r="G324" s="141"/>
      <c r="H324" s="141"/>
      <c r="I324" s="8" t="s">
        <v>86</v>
      </c>
      <c r="J324" s="8" t="s">
        <v>264</v>
      </c>
      <c r="K324" s="8">
        <v>2022</v>
      </c>
      <c r="L324" s="8" t="s">
        <v>289</v>
      </c>
    </row>
    <row r="325" spans="1:12" x14ac:dyDescent="0.35">
      <c r="A325" s="8" t="s">
        <v>300</v>
      </c>
      <c r="B325" s="8" t="s">
        <v>147</v>
      </c>
      <c r="C325" s="8" t="s">
        <v>147</v>
      </c>
      <c r="D325" s="8" t="s">
        <v>147</v>
      </c>
      <c r="E325" s="8" t="s">
        <v>147</v>
      </c>
      <c r="F325" s="141">
        <v>1.5049999999999998E-3</v>
      </c>
      <c r="G325" s="141"/>
      <c r="H325" s="141"/>
      <c r="I325" s="8" t="s">
        <v>86</v>
      </c>
      <c r="J325" s="8" t="s">
        <v>264</v>
      </c>
      <c r="K325" s="8">
        <v>2022</v>
      </c>
      <c r="L325" s="8" t="s">
        <v>289</v>
      </c>
    </row>
    <row r="326" spans="1:12" x14ac:dyDescent="0.35">
      <c r="A326" s="8" t="s">
        <v>300</v>
      </c>
      <c r="B326" s="8" t="s">
        <v>148</v>
      </c>
      <c r="C326" s="8" t="s">
        <v>148</v>
      </c>
      <c r="D326" s="8" t="s">
        <v>148</v>
      </c>
      <c r="E326" s="8" t="s">
        <v>148</v>
      </c>
      <c r="F326" s="141">
        <v>1.508E-3</v>
      </c>
      <c r="G326" s="141"/>
      <c r="H326" s="141"/>
      <c r="I326" s="8" t="s">
        <v>86</v>
      </c>
      <c r="J326" s="8" t="s">
        <v>264</v>
      </c>
      <c r="K326" s="8">
        <v>2022</v>
      </c>
      <c r="L326" s="8" t="s">
        <v>289</v>
      </c>
    </row>
    <row r="327" spans="1:12" x14ac:dyDescent="0.35">
      <c r="A327" s="8" t="s">
        <v>300</v>
      </c>
      <c r="B327" s="8" t="s">
        <v>149</v>
      </c>
      <c r="C327" s="8" t="s">
        <v>149</v>
      </c>
      <c r="D327" s="8" t="s">
        <v>149</v>
      </c>
      <c r="E327" s="8" t="s">
        <v>149</v>
      </c>
      <c r="F327" s="141">
        <v>2.1379999999999997E-3</v>
      </c>
      <c r="G327" s="141"/>
      <c r="H327" s="141"/>
      <c r="I327" s="8" t="s">
        <v>86</v>
      </c>
      <c r="J327" s="8" t="s">
        <v>264</v>
      </c>
      <c r="K327" s="8">
        <v>2022</v>
      </c>
      <c r="L327" s="8" t="s">
        <v>289</v>
      </c>
    </row>
    <row r="328" spans="1:12" x14ac:dyDescent="0.35">
      <c r="A328" s="8" t="s">
        <v>300</v>
      </c>
      <c r="B328" s="8" t="s">
        <v>150</v>
      </c>
      <c r="C328" s="8" t="s">
        <v>150</v>
      </c>
      <c r="D328" s="8" t="s">
        <v>150</v>
      </c>
      <c r="E328" s="8" t="s">
        <v>150</v>
      </c>
      <c r="F328" s="141">
        <v>3.6070000000000004E-3</v>
      </c>
      <c r="G328" s="141"/>
      <c r="H328" s="141"/>
      <c r="I328" s="8" t="s">
        <v>86</v>
      </c>
      <c r="J328" s="8" t="s">
        <v>264</v>
      </c>
      <c r="K328" s="8">
        <v>2022</v>
      </c>
      <c r="L328" s="8" t="s">
        <v>289</v>
      </c>
    </row>
    <row r="329" spans="1:12" x14ac:dyDescent="0.35">
      <c r="A329" s="8" t="s">
        <v>300</v>
      </c>
      <c r="B329" s="8" t="s">
        <v>151</v>
      </c>
      <c r="C329" s="8" t="s">
        <v>151</v>
      </c>
      <c r="D329" s="8" t="s">
        <v>151</v>
      </c>
      <c r="E329" s="8" t="s">
        <v>151</v>
      </c>
      <c r="F329" s="141">
        <v>1.4E-5</v>
      </c>
      <c r="G329" s="141"/>
      <c r="H329" s="141"/>
      <c r="I329" s="8" t="s">
        <v>86</v>
      </c>
      <c r="J329" s="8" t="s">
        <v>264</v>
      </c>
      <c r="K329" s="8">
        <v>2022</v>
      </c>
      <c r="L329" s="8" t="s">
        <v>289</v>
      </c>
    </row>
    <row r="330" spans="1:12" x14ac:dyDescent="0.35">
      <c r="A330" s="8" t="s">
        <v>300</v>
      </c>
      <c r="B330" s="8" t="s">
        <v>152</v>
      </c>
      <c r="C330" s="8" t="s">
        <v>152</v>
      </c>
      <c r="D330" s="8" t="s">
        <v>152</v>
      </c>
      <c r="E330" s="8" t="s">
        <v>152</v>
      </c>
      <c r="F330" s="141">
        <v>9.5000000000000005E-5</v>
      </c>
      <c r="G330" s="141"/>
      <c r="H330" s="141"/>
      <c r="I330" s="8" t="s">
        <v>86</v>
      </c>
      <c r="J330" s="8" t="s">
        <v>264</v>
      </c>
      <c r="K330" s="8">
        <v>2022</v>
      </c>
      <c r="L330" s="8" t="s">
        <v>289</v>
      </c>
    </row>
    <row r="331" spans="1:12" x14ac:dyDescent="0.35">
      <c r="A331" s="8" t="s">
        <v>300</v>
      </c>
      <c r="B331" s="8" t="s">
        <v>153</v>
      </c>
      <c r="C331" s="8" t="s">
        <v>153</v>
      </c>
      <c r="D331" s="8" t="s">
        <v>153</v>
      </c>
      <c r="E331" s="8" t="s">
        <v>153</v>
      </c>
      <c r="F331" s="141">
        <v>3.8000000000000002E-5</v>
      </c>
      <c r="G331" s="141"/>
      <c r="H331" s="141"/>
      <c r="I331" s="8" t="s">
        <v>86</v>
      </c>
      <c r="J331" s="8" t="s">
        <v>264</v>
      </c>
      <c r="K331" s="8">
        <v>2022</v>
      </c>
      <c r="L331" s="8" t="s">
        <v>289</v>
      </c>
    </row>
    <row r="332" spans="1:12" x14ac:dyDescent="0.35">
      <c r="A332" s="8" t="s">
        <v>300</v>
      </c>
      <c r="B332" s="8" t="s">
        <v>154</v>
      </c>
      <c r="C332" s="8" t="s">
        <v>154</v>
      </c>
      <c r="D332" s="8" t="s">
        <v>154</v>
      </c>
      <c r="E332" s="8" t="s">
        <v>154</v>
      </c>
      <c r="F332" s="141">
        <v>1.9999999999999999E-6</v>
      </c>
      <c r="G332" s="141"/>
      <c r="H332" s="141"/>
      <c r="I332" s="8" t="s">
        <v>86</v>
      </c>
      <c r="J332" s="8" t="s">
        <v>264</v>
      </c>
      <c r="K332" s="8">
        <v>2022</v>
      </c>
      <c r="L332" s="8" t="s">
        <v>289</v>
      </c>
    </row>
    <row r="333" spans="1:12" x14ac:dyDescent="0.35">
      <c r="A333" s="8" t="s">
        <v>300</v>
      </c>
      <c r="B333" s="8" t="s">
        <v>155</v>
      </c>
      <c r="C333" s="8" t="s">
        <v>155</v>
      </c>
      <c r="D333" s="8" t="s">
        <v>155</v>
      </c>
      <c r="E333" s="8" t="s">
        <v>155</v>
      </c>
      <c r="F333" s="141">
        <v>3.0000000000000001E-6</v>
      </c>
      <c r="G333" s="141"/>
      <c r="H333" s="141"/>
      <c r="I333" s="8" t="s">
        <v>86</v>
      </c>
      <c r="J333" s="8" t="s">
        <v>264</v>
      </c>
      <c r="K333" s="8">
        <v>2022</v>
      </c>
      <c r="L333" s="8" t="s">
        <v>289</v>
      </c>
    </row>
    <row r="334" spans="1:12" x14ac:dyDescent="0.35">
      <c r="A334" s="8" t="s">
        <v>300</v>
      </c>
      <c r="B334" s="8" t="s">
        <v>156</v>
      </c>
      <c r="C334" s="8" t="s">
        <v>156</v>
      </c>
      <c r="D334" s="8" t="s">
        <v>156</v>
      </c>
      <c r="E334" s="8" t="s">
        <v>156</v>
      </c>
      <c r="F334" s="141">
        <v>3.0000000000000001E-6</v>
      </c>
      <c r="G334" s="141"/>
      <c r="H334" s="141"/>
      <c r="I334" s="8" t="s">
        <v>86</v>
      </c>
      <c r="J334" s="8" t="s">
        <v>264</v>
      </c>
      <c r="K334" s="8">
        <v>2022</v>
      </c>
      <c r="L334" s="8" t="s">
        <v>289</v>
      </c>
    </row>
    <row r="335" spans="1:12" x14ac:dyDescent="0.35">
      <c r="A335" s="8" t="s">
        <v>300</v>
      </c>
      <c r="B335" s="8" t="s">
        <v>157</v>
      </c>
      <c r="C335" s="8" t="s">
        <v>157</v>
      </c>
      <c r="D335" s="8" t="s">
        <v>157</v>
      </c>
      <c r="E335" s="8" t="s">
        <v>157</v>
      </c>
      <c r="F335" s="141">
        <v>3.0000000000000001E-6</v>
      </c>
      <c r="G335" s="141"/>
      <c r="H335" s="141"/>
      <c r="I335" s="8" t="s">
        <v>86</v>
      </c>
      <c r="J335" s="8" t="s">
        <v>264</v>
      </c>
      <c r="K335" s="8">
        <v>2022</v>
      </c>
      <c r="L335" s="8" t="s">
        <v>289</v>
      </c>
    </row>
    <row r="336" spans="1:12" x14ac:dyDescent="0.35">
      <c r="A336" s="8" t="s">
        <v>300</v>
      </c>
      <c r="B336" s="8" t="s">
        <v>158</v>
      </c>
      <c r="C336" s="8" t="s">
        <v>158</v>
      </c>
      <c r="D336" s="8" t="s">
        <v>158</v>
      </c>
      <c r="E336" s="8" t="s">
        <v>158</v>
      </c>
      <c r="F336" s="141">
        <v>3.2450000000000001E-3</v>
      </c>
      <c r="G336" s="141"/>
      <c r="H336" s="141"/>
      <c r="I336" s="8" t="s">
        <v>86</v>
      </c>
      <c r="J336" s="8" t="s">
        <v>264</v>
      </c>
      <c r="K336" s="8">
        <v>2022</v>
      </c>
      <c r="L336" s="8" t="s">
        <v>289</v>
      </c>
    </row>
    <row r="337" spans="1:12" x14ac:dyDescent="0.35">
      <c r="A337" s="8" t="s">
        <v>300</v>
      </c>
      <c r="B337" s="8" t="s">
        <v>159</v>
      </c>
      <c r="C337" s="8" t="s">
        <v>159</v>
      </c>
      <c r="D337" s="8" t="s">
        <v>159</v>
      </c>
      <c r="E337" s="8" t="s">
        <v>159</v>
      </c>
      <c r="F337" s="141">
        <v>2.5999999999999998E-5</v>
      </c>
      <c r="G337" s="141"/>
      <c r="H337" s="141"/>
      <c r="I337" s="8" t="s">
        <v>86</v>
      </c>
      <c r="J337" s="8" t="s">
        <v>264</v>
      </c>
      <c r="K337" s="8">
        <v>2022</v>
      </c>
      <c r="L337" s="8" t="s">
        <v>289</v>
      </c>
    </row>
    <row r="338" spans="1:12" x14ac:dyDescent="0.35">
      <c r="A338" s="8" t="s">
        <v>300</v>
      </c>
      <c r="B338" s="8" t="s">
        <v>160</v>
      </c>
      <c r="C338" s="8" t="s">
        <v>160</v>
      </c>
      <c r="D338" s="8" t="s">
        <v>160</v>
      </c>
      <c r="E338" s="8" t="s">
        <v>160</v>
      </c>
      <c r="F338" s="141">
        <v>3.0000000000000001E-6</v>
      </c>
      <c r="G338" s="141"/>
      <c r="H338" s="141"/>
      <c r="I338" s="8" t="s">
        <v>86</v>
      </c>
      <c r="J338" s="8" t="s">
        <v>264</v>
      </c>
      <c r="K338" s="8">
        <v>2022</v>
      </c>
      <c r="L338" s="8" t="s">
        <v>289</v>
      </c>
    </row>
    <row r="339" spans="1:12" x14ac:dyDescent="0.35">
      <c r="A339" s="8" t="s">
        <v>300</v>
      </c>
      <c r="B339" s="8" t="s">
        <v>161</v>
      </c>
      <c r="C339" s="8" t="s">
        <v>161</v>
      </c>
      <c r="D339" s="8" t="s">
        <v>161</v>
      </c>
      <c r="E339" s="8" t="s">
        <v>161</v>
      </c>
      <c r="F339" s="141">
        <v>3.0000000000000001E-6</v>
      </c>
      <c r="G339" s="141"/>
      <c r="H339" s="141"/>
      <c r="I339" s="8" t="s">
        <v>86</v>
      </c>
      <c r="J339" s="8" t="s">
        <v>264</v>
      </c>
      <c r="K339" s="8">
        <v>2022</v>
      </c>
      <c r="L339" s="8" t="s">
        <v>289</v>
      </c>
    </row>
    <row r="340" spans="1:12" x14ac:dyDescent="0.35">
      <c r="A340" s="8" t="s">
        <v>300</v>
      </c>
      <c r="B340" s="8" t="s">
        <v>162</v>
      </c>
      <c r="C340" s="8" t="s">
        <v>162</v>
      </c>
      <c r="D340" s="8" t="s">
        <v>162</v>
      </c>
      <c r="E340" s="8" t="s">
        <v>162</v>
      </c>
      <c r="F340" s="141">
        <v>1.805E-3</v>
      </c>
      <c r="G340" s="141"/>
      <c r="H340" s="141"/>
      <c r="I340" s="8" t="s">
        <v>86</v>
      </c>
      <c r="J340" s="8" t="s">
        <v>264</v>
      </c>
      <c r="K340" s="8">
        <v>2022</v>
      </c>
      <c r="L340" s="8" t="s">
        <v>289</v>
      </c>
    </row>
    <row r="341" spans="1:12" x14ac:dyDescent="0.35">
      <c r="A341" s="8" t="s">
        <v>300</v>
      </c>
      <c r="B341" s="8" t="s">
        <v>163</v>
      </c>
      <c r="C341" s="8" t="s">
        <v>163</v>
      </c>
      <c r="D341" s="8" t="s">
        <v>163</v>
      </c>
      <c r="E341" s="8" t="s">
        <v>163</v>
      </c>
      <c r="F341" s="141">
        <v>2.2650000000000001E-3</v>
      </c>
      <c r="G341" s="141"/>
      <c r="H341" s="141"/>
      <c r="I341" s="8" t="s">
        <v>86</v>
      </c>
      <c r="J341" s="8" t="s">
        <v>264</v>
      </c>
      <c r="K341" s="8">
        <v>2022</v>
      </c>
      <c r="L341" s="8" t="s">
        <v>289</v>
      </c>
    </row>
    <row r="342" spans="1:12" x14ac:dyDescent="0.35">
      <c r="A342" s="8" t="s">
        <v>300</v>
      </c>
      <c r="B342" s="8" t="s">
        <v>164</v>
      </c>
      <c r="C342" s="8" t="s">
        <v>164</v>
      </c>
      <c r="D342" s="8" t="s">
        <v>164</v>
      </c>
      <c r="E342" s="8" t="s">
        <v>164</v>
      </c>
      <c r="F342" s="141">
        <v>1.983E-3</v>
      </c>
      <c r="G342" s="141"/>
      <c r="H342" s="141"/>
      <c r="I342" s="8" t="s">
        <v>86</v>
      </c>
      <c r="J342" s="8" t="s">
        <v>264</v>
      </c>
      <c r="K342" s="8">
        <v>2022</v>
      </c>
      <c r="L342" s="8" t="s">
        <v>289</v>
      </c>
    </row>
    <row r="343" spans="1:12" x14ac:dyDescent="0.35">
      <c r="A343" s="8" t="s">
        <v>300</v>
      </c>
      <c r="B343" s="8" t="s">
        <v>165</v>
      </c>
      <c r="C343" s="8" t="s">
        <v>165</v>
      </c>
      <c r="D343" s="8" t="s">
        <v>165</v>
      </c>
      <c r="E343" s="8" t="s">
        <v>165</v>
      </c>
      <c r="F343" s="141">
        <v>1.4399999999999998E-4</v>
      </c>
      <c r="G343" s="141"/>
      <c r="H343" s="141"/>
      <c r="I343" s="8" t="s">
        <v>86</v>
      </c>
      <c r="J343" s="8" t="s">
        <v>264</v>
      </c>
      <c r="K343" s="8">
        <v>2022</v>
      </c>
      <c r="L343" s="8" t="s">
        <v>289</v>
      </c>
    </row>
    <row r="344" spans="1:12" x14ac:dyDescent="0.35">
      <c r="A344" s="8" t="s">
        <v>300</v>
      </c>
      <c r="B344" s="8" t="s">
        <v>166</v>
      </c>
      <c r="C344" s="8" t="s">
        <v>166</v>
      </c>
      <c r="D344" s="8" t="s">
        <v>166</v>
      </c>
      <c r="E344" s="8" t="s">
        <v>166</v>
      </c>
      <c r="F344" s="141">
        <v>3.0000000000000001E-6</v>
      </c>
      <c r="G344" s="141"/>
      <c r="H344" s="141"/>
      <c r="I344" s="8" t="s">
        <v>86</v>
      </c>
      <c r="J344" s="8" t="s">
        <v>264</v>
      </c>
      <c r="K344" s="8">
        <v>2022</v>
      </c>
      <c r="L344" s="8" t="s">
        <v>289</v>
      </c>
    </row>
    <row r="345" spans="1:12" x14ac:dyDescent="0.35">
      <c r="A345" s="8" t="s">
        <v>300</v>
      </c>
      <c r="B345" s="8" t="s">
        <v>167</v>
      </c>
      <c r="C345" s="8" t="s">
        <v>167</v>
      </c>
      <c r="D345" s="8" t="s">
        <v>167</v>
      </c>
      <c r="E345" s="8" t="s">
        <v>167</v>
      </c>
      <c r="F345" s="141">
        <v>1.8879999999999999E-3</v>
      </c>
      <c r="G345" s="141"/>
      <c r="H345" s="141"/>
      <c r="I345" s="8" t="s">
        <v>86</v>
      </c>
      <c r="J345" s="8" t="s">
        <v>264</v>
      </c>
      <c r="K345" s="8">
        <v>2022</v>
      </c>
      <c r="L345" s="8" t="s">
        <v>289</v>
      </c>
    </row>
    <row r="346" spans="1:12" x14ac:dyDescent="0.35">
      <c r="A346" s="8" t="s">
        <v>300</v>
      </c>
      <c r="B346" s="8" t="s">
        <v>168</v>
      </c>
      <c r="C346" s="8" t="s">
        <v>168</v>
      </c>
      <c r="D346" s="8" t="s">
        <v>168</v>
      </c>
      <c r="E346" s="8" t="s">
        <v>168</v>
      </c>
      <c r="F346" s="141">
        <v>1.9999999999999999E-6</v>
      </c>
      <c r="G346" s="141"/>
      <c r="H346" s="141"/>
      <c r="I346" s="8" t="s">
        <v>86</v>
      </c>
      <c r="J346" s="8" t="s">
        <v>264</v>
      </c>
      <c r="K346" s="8">
        <v>2022</v>
      </c>
      <c r="L346" s="8" t="s">
        <v>289</v>
      </c>
    </row>
    <row r="347" spans="1:12" x14ac:dyDescent="0.35">
      <c r="A347" s="8" t="s">
        <v>300</v>
      </c>
      <c r="B347" s="8" t="s">
        <v>169</v>
      </c>
      <c r="C347" s="8" t="s">
        <v>169</v>
      </c>
      <c r="D347" s="8" t="s">
        <v>169</v>
      </c>
      <c r="E347" s="8" t="s">
        <v>169</v>
      </c>
      <c r="F347" s="141">
        <v>8.7999999999999998E-5</v>
      </c>
      <c r="G347" s="141"/>
      <c r="H347" s="141"/>
      <c r="I347" s="8" t="s">
        <v>86</v>
      </c>
      <c r="J347" s="8" t="s">
        <v>264</v>
      </c>
      <c r="K347" s="8">
        <v>2022</v>
      </c>
      <c r="L347" s="8" t="s">
        <v>289</v>
      </c>
    </row>
    <row r="348" spans="1:12" x14ac:dyDescent="0.35">
      <c r="A348" s="8" t="s">
        <v>300</v>
      </c>
      <c r="B348" s="8" t="s">
        <v>170</v>
      </c>
      <c r="C348" s="8" t="s">
        <v>170</v>
      </c>
      <c r="D348" s="8" t="s">
        <v>170</v>
      </c>
      <c r="E348" s="8" t="s">
        <v>170</v>
      </c>
      <c r="F348" s="141">
        <v>1.3000000000000002E-4</v>
      </c>
      <c r="G348" s="141"/>
      <c r="H348" s="141"/>
      <c r="I348" s="8" t="s">
        <v>86</v>
      </c>
      <c r="J348" s="8" t="s">
        <v>264</v>
      </c>
      <c r="K348" s="8">
        <v>2022</v>
      </c>
      <c r="L348" s="8" t="s">
        <v>289</v>
      </c>
    </row>
    <row r="349" spans="1:12" x14ac:dyDescent="0.35">
      <c r="A349" s="8" t="s">
        <v>300</v>
      </c>
      <c r="B349" s="8" t="s">
        <v>301</v>
      </c>
      <c r="C349" s="8" t="s">
        <v>301</v>
      </c>
      <c r="D349" s="8" t="s">
        <v>301</v>
      </c>
      <c r="E349" s="8" t="s">
        <v>301</v>
      </c>
      <c r="F349" s="141">
        <v>1.3870899999999997E-3</v>
      </c>
      <c r="G349" s="141"/>
      <c r="H349" s="141"/>
      <c r="I349" s="8" t="s">
        <v>86</v>
      </c>
      <c r="J349" s="8" t="s">
        <v>264</v>
      </c>
      <c r="K349" s="8">
        <v>2022</v>
      </c>
      <c r="L349" s="8" t="s">
        <v>289</v>
      </c>
    </row>
    <row r="350" spans="1:12" x14ac:dyDescent="0.35">
      <c r="A350" s="8" t="s">
        <v>300</v>
      </c>
      <c r="B350" s="8" t="s">
        <v>302</v>
      </c>
      <c r="C350" s="8" t="s">
        <v>302</v>
      </c>
      <c r="D350" s="8" t="s">
        <v>302</v>
      </c>
      <c r="E350" s="8" t="s">
        <v>302</v>
      </c>
      <c r="F350" s="141">
        <v>1.3978100000000002E-3</v>
      </c>
      <c r="G350" s="141"/>
      <c r="H350" s="141"/>
      <c r="I350" s="8" t="s">
        <v>86</v>
      </c>
      <c r="J350" s="8" t="s">
        <v>264</v>
      </c>
      <c r="K350" s="8">
        <v>2022</v>
      </c>
      <c r="L350" s="8" t="s">
        <v>289</v>
      </c>
    </row>
    <row r="351" spans="1:12" x14ac:dyDescent="0.35">
      <c r="A351" s="8" t="s">
        <v>300</v>
      </c>
      <c r="B351" s="8" t="s">
        <v>311</v>
      </c>
      <c r="C351" s="8" t="s">
        <v>311</v>
      </c>
      <c r="D351" s="8" t="s">
        <v>311</v>
      </c>
      <c r="E351" s="8" t="s">
        <v>311</v>
      </c>
      <c r="F351" s="141">
        <v>2.1419999999999998E-3</v>
      </c>
      <c r="G351" s="141"/>
      <c r="H351" s="141"/>
      <c r="I351" s="8" t="s">
        <v>86</v>
      </c>
      <c r="J351" s="8" t="s">
        <v>264</v>
      </c>
      <c r="K351" s="8">
        <v>2022</v>
      </c>
      <c r="L351" s="8" t="s">
        <v>289</v>
      </c>
    </row>
    <row r="352" spans="1:12" x14ac:dyDescent="0.35">
      <c r="A352" s="8" t="s">
        <v>300</v>
      </c>
      <c r="B352" s="8" t="s">
        <v>171</v>
      </c>
      <c r="C352" s="8" t="s">
        <v>171</v>
      </c>
      <c r="D352" s="8" t="s">
        <v>171</v>
      </c>
      <c r="E352" s="8" t="s">
        <v>171</v>
      </c>
      <c r="F352" s="141">
        <v>8.0769999999999991E-3</v>
      </c>
      <c r="G352" s="141"/>
      <c r="H352" s="141"/>
      <c r="I352" s="8" t="s">
        <v>86</v>
      </c>
      <c r="J352" s="8" t="s">
        <v>264</v>
      </c>
      <c r="K352" s="8">
        <v>2022</v>
      </c>
      <c r="L352" s="8" t="s">
        <v>289</v>
      </c>
    </row>
    <row r="353" spans="1:12" x14ac:dyDescent="0.35">
      <c r="A353" s="8" t="s">
        <v>300</v>
      </c>
      <c r="B353" s="8" t="s">
        <v>172</v>
      </c>
      <c r="C353" s="8" t="s">
        <v>172</v>
      </c>
      <c r="D353" s="8" t="s">
        <v>172</v>
      </c>
      <c r="E353" s="8" t="s">
        <v>172</v>
      </c>
      <c r="F353" s="141">
        <v>4.0829999999999998E-3</v>
      </c>
      <c r="G353" s="141"/>
      <c r="H353" s="141"/>
      <c r="I353" s="8" t="s">
        <v>86</v>
      </c>
      <c r="J353" s="8" t="s">
        <v>264</v>
      </c>
      <c r="K353" s="8">
        <v>2022</v>
      </c>
      <c r="L353" s="8" t="s">
        <v>289</v>
      </c>
    </row>
    <row r="354" spans="1:12" x14ac:dyDescent="0.35">
      <c r="A354" s="8" t="s">
        <v>300</v>
      </c>
      <c r="B354" s="8" t="s">
        <v>173</v>
      </c>
      <c r="C354" s="8" t="s">
        <v>173</v>
      </c>
      <c r="D354" s="8" t="s">
        <v>173</v>
      </c>
      <c r="E354" s="8" t="s">
        <v>173</v>
      </c>
      <c r="F354" s="141">
        <v>4.6569999999999997E-3</v>
      </c>
      <c r="G354" s="141"/>
      <c r="H354" s="141"/>
      <c r="I354" s="8" t="s">
        <v>86</v>
      </c>
      <c r="J354" s="8" t="s">
        <v>264</v>
      </c>
      <c r="K354" s="8">
        <v>2022</v>
      </c>
      <c r="L354" s="8" t="s">
        <v>289</v>
      </c>
    </row>
    <row r="355" spans="1:12" x14ac:dyDescent="0.35">
      <c r="A355" s="8" t="s">
        <v>300</v>
      </c>
      <c r="B355" s="8" t="s">
        <v>174</v>
      </c>
      <c r="C355" s="8" t="s">
        <v>174</v>
      </c>
      <c r="D355" s="8" t="s">
        <v>174</v>
      </c>
      <c r="E355" s="8" t="s">
        <v>174</v>
      </c>
      <c r="F355" s="141">
        <v>1.456E-2</v>
      </c>
      <c r="G355" s="141"/>
      <c r="H355" s="141"/>
      <c r="I355" s="8" t="s">
        <v>86</v>
      </c>
      <c r="J355" s="8" t="s">
        <v>264</v>
      </c>
      <c r="K355" s="8">
        <v>2022</v>
      </c>
      <c r="L355" s="8" t="s">
        <v>289</v>
      </c>
    </row>
    <row r="356" spans="1:12" x14ac:dyDescent="0.35">
      <c r="A356" s="8" t="s">
        <v>300</v>
      </c>
      <c r="B356" s="8" t="s">
        <v>175</v>
      </c>
      <c r="C356" s="8" t="s">
        <v>175</v>
      </c>
      <c r="D356" s="8" t="s">
        <v>175</v>
      </c>
      <c r="E356" s="8" t="s">
        <v>175</v>
      </c>
      <c r="F356" s="141">
        <v>4.143E-3</v>
      </c>
      <c r="G356" s="141"/>
      <c r="H356" s="141"/>
      <c r="I356" s="8" t="s">
        <v>86</v>
      </c>
      <c r="J356" s="8" t="s">
        <v>264</v>
      </c>
      <c r="K356" s="8">
        <v>2022</v>
      </c>
      <c r="L356" s="8" t="s">
        <v>289</v>
      </c>
    </row>
    <row r="357" spans="1:12" x14ac:dyDescent="0.35">
      <c r="A357" s="8" t="s">
        <v>300</v>
      </c>
      <c r="B357" s="8" t="s">
        <v>176</v>
      </c>
      <c r="C357" s="8" t="s">
        <v>176</v>
      </c>
      <c r="D357" s="8" t="s">
        <v>176</v>
      </c>
      <c r="E357" s="8" t="s">
        <v>176</v>
      </c>
      <c r="F357" s="141">
        <v>8.5020000000000009E-3</v>
      </c>
      <c r="G357" s="141"/>
      <c r="H357" s="141"/>
      <c r="I357" s="8" t="s">
        <v>86</v>
      </c>
      <c r="J357" s="8" t="s">
        <v>264</v>
      </c>
      <c r="K357" s="8">
        <v>2022</v>
      </c>
      <c r="L357" s="8" t="s">
        <v>289</v>
      </c>
    </row>
    <row r="358" spans="1:12" x14ac:dyDescent="0.35">
      <c r="A358" s="8" t="s">
        <v>300</v>
      </c>
      <c r="B358" s="8" t="s">
        <v>177</v>
      </c>
      <c r="C358" s="8" t="s">
        <v>177</v>
      </c>
      <c r="D358" s="8" t="s">
        <v>177</v>
      </c>
      <c r="E358" s="8" t="s">
        <v>177</v>
      </c>
      <c r="F358" s="141">
        <v>4.4900000000000001E-3</v>
      </c>
      <c r="G358" s="141"/>
      <c r="H358" s="141"/>
      <c r="I358" s="8" t="s">
        <v>86</v>
      </c>
      <c r="J358" s="8" t="s">
        <v>264</v>
      </c>
      <c r="K358" s="8">
        <v>2022</v>
      </c>
      <c r="L358" s="8" t="s">
        <v>289</v>
      </c>
    </row>
    <row r="359" spans="1:12" x14ac:dyDescent="0.35">
      <c r="A359" s="8" t="s">
        <v>300</v>
      </c>
      <c r="B359" s="8" t="s">
        <v>305</v>
      </c>
      <c r="C359" s="8" t="s">
        <v>305</v>
      </c>
      <c r="D359" s="8" t="s">
        <v>305</v>
      </c>
      <c r="E359" s="8" t="s">
        <v>305</v>
      </c>
      <c r="F359" s="141">
        <v>3.9850101832993893E-3</v>
      </c>
      <c r="G359" s="141"/>
      <c r="H359" s="141"/>
      <c r="I359" s="8" t="s">
        <v>86</v>
      </c>
      <c r="J359" s="8" t="s">
        <v>264</v>
      </c>
      <c r="K359" s="8">
        <v>2022</v>
      </c>
      <c r="L359" s="8" t="s">
        <v>289</v>
      </c>
    </row>
    <row r="360" spans="1:12" x14ac:dyDescent="0.35">
      <c r="A360" s="8" t="s">
        <v>300</v>
      </c>
      <c r="B360" s="8" t="s">
        <v>178</v>
      </c>
      <c r="C360" s="8" t="s">
        <v>178</v>
      </c>
      <c r="D360" s="8" t="s">
        <v>178</v>
      </c>
      <c r="E360" s="8" t="s">
        <v>178</v>
      </c>
      <c r="F360" s="141">
        <v>3.9849999999999998E-3</v>
      </c>
      <c r="G360" s="141"/>
      <c r="H360" s="141"/>
      <c r="I360" s="8" t="s">
        <v>86</v>
      </c>
      <c r="J360" s="8" t="s">
        <v>264</v>
      </c>
      <c r="K360" s="8">
        <v>2022</v>
      </c>
      <c r="L360" s="8" t="s">
        <v>289</v>
      </c>
    </row>
    <row r="361" spans="1:12" x14ac:dyDescent="0.35">
      <c r="A361" s="8" t="s">
        <v>300</v>
      </c>
      <c r="B361" s="8" t="s">
        <v>179</v>
      </c>
      <c r="C361" s="8" t="s">
        <v>179</v>
      </c>
      <c r="D361" s="8" t="s">
        <v>179</v>
      </c>
      <c r="E361" s="8" t="s">
        <v>179</v>
      </c>
      <c r="F361" s="141">
        <v>1.3214E-2</v>
      </c>
      <c r="G361" s="141"/>
      <c r="H361" s="141"/>
      <c r="I361" s="8" t="s">
        <v>86</v>
      </c>
      <c r="J361" s="8" t="s">
        <v>264</v>
      </c>
      <c r="K361" s="8">
        <v>2022</v>
      </c>
      <c r="L361" s="8" t="s">
        <v>289</v>
      </c>
    </row>
    <row r="362" spans="1:12" x14ac:dyDescent="0.35">
      <c r="A362" s="8" t="s">
        <v>300</v>
      </c>
      <c r="B362" s="8" t="s">
        <v>180</v>
      </c>
      <c r="C362" s="8" t="s">
        <v>180</v>
      </c>
      <c r="D362" s="8" t="s">
        <v>180</v>
      </c>
      <c r="E362" s="8" t="s">
        <v>180</v>
      </c>
      <c r="F362" s="141">
        <v>1.3396000000000002E-2</v>
      </c>
      <c r="G362" s="141"/>
      <c r="H362" s="141"/>
      <c r="I362" s="8" t="s">
        <v>86</v>
      </c>
      <c r="J362" s="8" t="s">
        <v>264</v>
      </c>
      <c r="K362" s="8">
        <v>2022</v>
      </c>
      <c r="L362" s="8" t="s">
        <v>289</v>
      </c>
    </row>
    <row r="363" spans="1:12" x14ac:dyDescent="0.35">
      <c r="A363" s="8" t="s">
        <v>300</v>
      </c>
      <c r="B363" s="8" t="s">
        <v>181</v>
      </c>
      <c r="C363" s="8" t="s">
        <v>181</v>
      </c>
      <c r="D363" s="8" t="s">
        <v>181</v>
      </c>
      <c r="E363" s="8" t="s">
        <v>181</v>
      </c>
      <c r="F363" s="141">
        <v>5.7409999999999996E-3</v>
      </c>
      <c r="G363" s="141"/>
      <c r="H363" s="141"/>
      <c r="I363" s="8" t="s">
        <v>86</v>
      </c>
      <c r="J363" s="8" t="s">
        <v>264</v>
      </c>
      <c r="K363" s="8">
        <v>2022</v>
      </c>
      <c r="L363" s="8" t="s">
        <v>289</v>
      </c>
    </row>
    <row r="364" spans="1:12" x14ac:dyDescent="0.35">
      <c r="A364" s="8" t="s">
        <v>300</v>
      </c>
      <c r="B364" s="8" t="s">
        <v>182</v>
      </c>
      <c r="C364" s="8" t="s">
        <v>182</v>
      </c>
      <c r="D364" s="8" t="s">
        <v>182</v>
      </c>
      <c r="E364" s="8" t="s">
        <v>182</v>
      </c>
      <c r="F364" s="141">
        <v>9.9999999999999995E-7</v>
      </c>
      <c r="G364" s="141"/>
      <c r="H364" s="141"/>
      <c r="I364" s="8" t="s">
        <v>86</v>
      </c>
      <c r="J364" s="8" t="s">
        <v>264</v>
      </c>
      <c r="K364" s="8">
        <v>2022</v>
      </c>
      <c r="L364" s="8" t="s">
        <v>289</v>
      </c>
    </row>
    <row r="365" spans="1:12" x14ac:dyDescent="0.35">
      <c r="A365" s="8" t="s">
        <v>300</v>
      </c>
      <c r="B365" s="8" t="s">
        <v>183</v>
      </c>
      <c r="C365" s="8" t="s">
        <v>183</v>
      </c>
      <c r="D365" s="8" t="s">
        <v>183</v>
      </c>
      <c r="E365" s="8" t="s">
        <v>183</v>
      </c>
      <c r="F365" s="141">
        <v>8.9999999999999985E-6</v>
      </c>
      <c r="G365" s="141"/>
      <c r="H365" s="141"/>
      <c r="I365" s="8" t="s">
        <v>86</v>
      </c>
      <c r="J365" s="8" t="s">
        <v>264</v>
      </c>
      <c r="K365" s="8">
        <v>2022</v>
      </c>
      <c r="L365" s="8" t="s">
        <v>289</v>
      </c>
    </row>
    <row r="366" spans="1:12" x14ac:dyDescent="0.35">
      <c r="A366" s="8" t="s">
        <v>300</v>
      </c>
      <c r="B366" s="8" t="s">
        <v>184</v>
      </c>
      <c r="C366" s="8" t="s">
        <v>184</v>
      </c>
      <c r="D366" s="8" t="s">
        <v>184</v>
      </c>
      <c r="E366" s="8" t="s">
        <v>184</v>
      </c>
      <c r="F366" s="141">
        <v>1.8900000000000001E-4</v>
      </c>
      <c r="G366" s="141"/>
      <c r="H366" s="141"/>
      <c r="I366" s="8" t="s">
        <v>86</v>
      </c>
      <c r="J366" s="8" t="s">
        <v>264</v>
      </c>
      <c r="K366" s="8">
        <v>2022</v>
      </c>
      <c r="L366" s="8" t="s">
        <v>289</v>
      </c>
    </row>
    <row r="367" spans="1:12" x14ac:dyDescent="0.35">
      <c r="A367" s="8" t="s">
        <v>300</v>
      </c>
      <c r="B367" s="8" t="s">
        <v>310</v>
      </c>
      <c r="C367" s="8" t="s">
        <v>310</v>
      </c>
      <c r="D367" s="8" t="s">
        <v>310</v>
      </c>
      <c r="E367" s="8" t="s">
        <v>310</v>
      </c>
      <c r="F367" s="141">
        <v>3.9999999999999998E-6</v>
      </c>
      <c r="G367" s="141"/>
      <c r="H367" s="141"/>
      <c r="I367" s="8" t="s">
        <v>86</v>
      </c>
      <c r="J367" s="8" t="s">
        <v>264</v>
      </c>
      <c r="K367" s="8">
        <v>2022</v>
      </c>
      <c r="L367" s="8" t="s">
        <v>289</v>
      </c>
    </row>
    <row r="368" spans="1:12" x14ac:dyDescent="0.35">
      <c r="A368" s="8" t="s">
        <v>300</v>
      </c>
      <c r="B368" s="8" t="s">
        <v>308</v>
      </c>
      <c r="C368" s="8" t="s">
        <v>308</v>
      </c>
      <c r="D368" s="8" t="s">
        <v>308</v>
      </c>
      <c r="E368" s="8" t="s">
        <v>308</v>
      </c>
      <c r="F368" s="141">
        <v>9.9999999999999995E-7</v>
      </c>
      <c r="G368" s="141"/>
      <c r="H368" s="141"/>
      <c r="I368" s="8" t="s">
        <v>86</v>
      </c>
      <c r="J368" s="8" t="s">
        <v>264</v>
      </c>
      <c r="K368" s="8">
        <v>2022</v>
      </c>
      <c r="L368" s="8" t="s">
        <v>289</v>
      </c>
    </row>
    <row r="369" spans="1:12" x14ac:dyDescent="0.35">
      <c r="A369" s="8" t="s">
        <v>325</v>
      </c>
      <c r="B369" s="8" t="s">
        <v>531</v>
      </c>
      <c r="C369" s="8" t="s">
        <v>846</v>
      </c>
      <c r="D369" s="8" t="s">
        <v>847</v>
      </c>
      <c r="E369" s="8" t="s">
        <v>848</v>
      </c>
      <c r="F369" s="141">
        <v>2.65E-3</v>
      </c>
      <c r="G369" s="141"/>
      <c r="H369" s="141">
        <v>1.0000000000000001E-5</v>
      </c>
      <c r="I369" s="8" t="s">
        <v>320</v>
      </c>
      <c r="J369" s="8" t="s">
        <v>264</v>
      </c>
      <c r="K369" s="8">
        <v>2022</v>
      </c>
      <c r="L369" s="8" t="s">
        <v>596</v>
      </c>
    </row>
    <row r="370" spans="1:12" x14ac:dyDescent="0.35">
      <c r="A370" s="8" t="s">
        <v>325</v>
      </c>
      <c r="B370" s="8" t="s">
        <v>532</v>
      </c>
      <c r="C370" s="8" t="s">
        <v>849</v>
      </c>
      <c r="D370" s="8" t="s">
        <v>850</v>
      </c>
      <c r="E370" s="8" t="s">
        <v>851</v>
      </c>
      <c r="F370" s="141">
        <v>2.65E-3</v>
      </c>
      <c r="G370" s="141"/>
      <c r="H370" s="141">
        <v>1.0000000000000001E-5</v>
      </c>
      <c r="I370" s="8" t="s">
        <v>320</v>
      </c>
      <c r="J370" s="8" t="s">
        <v>264</v>
      </c>
      <c r="K370" s="8">
        <v>2022</v>
      </c>
      <c r="L370" s="8" t="s">
        <v>596</v>
      </c>
    </row>
    <row r="371" spans="1:12" x14ac:dyDescent="0.35">
      <c r="A371" s="8" t="s">
        <v>325</v>
      </c>
      <c r="B371" s="8" t="s">
        <v>533</v>
      </c>
      <c r="C371" s="8" t="s">
        <v>852</v>
      </c>
      <c r="D371" s="8" t="s">
        <v>853</v>
      </c>
      <c r="E371" s="8" t="s">
        <v>854</v>
      </c>
      <c r="F371" s="141">
        <v>5.3E-3</v>
      </c>
      <c r="G371" s="141"/>
      <c r="H371" s="141">
        <v>2.0000000000000002E-5</v>
      </c>
      <c r="I371" s="8" t="s">
        <v>320</v>
      </c>
      <c r="J371" s="8" t="s">
        <v>264</v>
      </c>
      <c r="K371" s="8">
        <v>2022</v>
      </c>
      <c r="L371" s="8" t="s">
        <v>596</v>
      </c>
    </row>
    <row r="372" spans="1:12" x14ac:dyDescent="0.35">
      <c r="A372" s="8" t="s">
        <v>774</v>
      </c>
      <c r="B372" s="8" t="s">
        <v>775</v>
      </c>
      <c r="C372" s="8" t="s">
        <v>776</v>
      </c>
      <c r="D372" s="8" t="s">
        <v>777</v>
      </c>
      <c r="E372" s="8" t="s">
        <v>778</v>
      </c>
      <c r="F372" s="141">
        <v>7.0346057451361598E-4</v>
      </c>
      <c r="G372" s="141"/>
      <c r="H372" s="141"/>
      <c r="I372" s="8" t="s">
        <v>37</v>
      </c>
      <c r="J372" s="8" t="s">
        <v>264</v>
      </c>
      <c r="K372" s="8">
        <v>2022</v>
      </c>
      <c r="L372" s="8" t="s">
        <v>779</v>
      </c>
    </row>
    <row r="373" spans="1:12" x14ac:dyDescent="0.35">
      <c r="A373" s="8" t="s">
        <v>774</v>
      </c>
      <c r="B373" s="8" t="s">
        <v>780</v>
      </c>
      <c r="C373" s="8" t="s">
        <v>781</v>
      </c>
      <c r="D373" s="8" t="s">
        <v>782</v>
      </c>
      <c r="E373" s="8" t="s">
        <v>783</v>
      </c>
      <c r="F373" s="141">
        <v>2.9959472837786782E-4</v>
      </c>
      <c r="G373" s="141"/>
      <c r="H373" s="141"/>
      <c r="I373" s="8" t="s">
        <v>37</v>
      </c>
      <c r="J373" s="8" t="s">
        <v>264</v>
      </c>
      <c r="K373" s="8">
        <v>2022</v>
      </c>
      <c r="L373" s="8" t="s">
        <v>779</v>
      </c>
    </row>
    <row r="374" spans="1:12" x14ac:dyDescent="0.35">
      <c r="A374" s="8" t="s">
        <v>774</v>
      </c>
      <c r="B374" s="8" t="s">
        <v>784</v>
      </c>
      <c r="C374" s="8" t="s">
        <v>785</v>
      </c>
      <c r="D374" s="8" t="s">
        <v>785</v>
      </c>
      <c r="E374" s="8" t="s">
        <v>786</v>
      </c>
      <c r="F374" s="141">
        <v>1.1739728358692593E-3</v>
      </c>
      <c r="G374" s="141"/>
      <c r="H374" s="141"/>
      <c r="I374" s="8" t="s">
        <v>37</v>
      </c>
      <c r="J374" s="8" t="s">
        <v>264</v>
      </c>
      <c r="K374" s="8">
        <v>2022</v>
      </c>
      <c r="L374" s="8" t="s">
        <v>779</v>
      </c>
    </row>
    <row r="375" spans="1:12" x14ac:dyDescent="0.35">
      <c r="A375" s="8" t="s">
        <v>774</v>
      </c>
      <c r="B375" s="8" t="s">
        <v>787</v>
      </c>
      <c r="C375" s="8" t="s">
        <v>788</v>
      </c>
      <c r="D375" s="8" t="s">
        <v>788</v>
      </c>
      <c r="E375" s="8" t="s">
        <v>789</v>
      </c>
      <c r="F375" s="141">
        <v>1.2871800976854049E-4</v>
      </c>
      <c r="G375" s="141"/>
      <c r="H375" s="141"/>
      <c r="I375" s="8" t="s">
        <v>37</v>
      </c>
      <c r="J375" s="8" t="s">
        <v>264</v>
      </c>
      <c r="K375" s="8">
        <v>2022</v>
      </c>
      <c r="L375" s="8" t="s">
        <v>779</v>
      </c>
    </row>
    <row r="376" spans="1:12" x14ac:dyDescent="0.35">
      <c r="A376" s="8" t="s">
        <v>774</v>
      </c>
      <c r="B376" s="8" t="s">
        <v>790</v>
      </c>
      <c r="C376" s="8" t="s">
        <v>791</v>
      </c>
      <c r="D376" s="8" t="s">
        <v>791</v>
      </c>
      <c r="E376" s="8" t="s">
        <v>792</v>
      </c>
      <c r="F376" s="141">
        <v>1.3070876278911494E-3</v>
      </c>
      <c r="G376" s="141"/>
      <c r="H376" s="141"/>
      <c r="I376" s="8" t="s">
        <v>37</v>
      </c>
      <c r="J376" s="8" t="s">
        <v>264</v>
      </c>
      <c r="K376" s="8">
        <v>2022</v>
      </c>
      <c r="L376" s="8" t="s">
        <v>779</v>
      </c>
    </row>
    <row r="377" spans="1:12" x14ac:dyDescent="0.35">
      <c r="A377" s="8" t="s">
        <v>774</v>
      </c>
      <c r="B377" s="8" t="s">
        <v>793</v>
      </c>
      <c r="C377" s="8" t="s">
        <v>794</v>
      </c>
      <c r="D377" s="8" t="s">
        <v>794</v>
      </c>
      <c r="E377" s="8" t="s">
        <v>795</v>
      </c>
      <c r="F377" s="141">
        <v>3.2523795779746127E-4</v>
      </c>
      <c r="G377" s="141"/>
      <c r="H377" s="141"/>
      <c r="I377" s="8" t="s">
        <v>37</v>
      </c>
      <c r="J377" s="8" t="s">
        <v>264</v>
      </c>
      <c r="K377" s="8">
        <v>2022</v>
      </c>
      <c r="L377" s="8" t="s">
        <v>779</v>
      </c>
    </row>
    <row r="378" spans="1:12" x14ac:dyDescent="0.35">
      <c r="A378" s="8" t="s">
        <v>218</v>
      </c>
      <c r="B378" s="8" t="s">
        <v>1148</v>
      </c>
      <c r="C378" s="8" t="s">
        <v>1066</v>
      </c>
      <c r="D378" s="8" t="s">
        <v>1092</v>
      </c>
      <c r="E378" s="8" t="s">
        <v>1102</v>
      </c>
      <c r="F378" s="141">
        <v>0.13</v>
      </c>
      <c r="G378" s="141"/>
      <c r="H378" s="141"/>
      <c r="I378" s="8" t="s">
        <v>43</v>
      </c>
      <c r="J378" s="8" t="s">
        <v>264</v>
      </c>
      <c r="K378" s="8">
        <v>2020</v>
      </c>
      <c r="L378" s="8" t="s">
        <v>353</v>
      </c>
    </row>
    <row r="379" spans="1:12" x14ac:dyDescent="0.35">
      <c r="A379" s="8" t="s">
        <v>218</v>
      </c>
      <c r="B379" s="8" t="s">
        <v>1149</v>
      </c>
      <c r="C379" s="8" t="s">
        <v>1067</v>
      </c>
      <c r="D379" s="8" t="s">
        <v>1093</v>
      </c>
      <c r="E379" s="8" t="s">
        <v>1103</v>
      </c>
      <c r="F379" s="141">
        <v>0.13900000000000001</v>
      </c>
      <c r="G379" s="141"/>
      <c r="H379" s="141"/>
      <c r="I379" s="8" t="s">
        <v>43</v>
      </c>
      <c r="J379" s="8" t="s">
        <v>264</v>
      </c>
      <c r="K379" s="8">
        <v>2021</v>
      </c>
      <c r="L379" s="8" t="s">
        <v>353</v>
      </c>
    </row>
    <row r="380" spans="1:12" x14ac:dyDescent="0.35">
      <c r="A380" s="8" t="s">
        <v>218</v>
      </c>
      <c r="B380" s="8" t="s">
        <v>1150</v>
      </c>
      <c r="C380" s="8" t="s">
        <v>1068</v>
      </c>
      <c r="D380" s="8" t="s">
        <v>1094</v>
      </c>
      <c r="E380" s="8" t="s">
        <v>1104</v>
      </c>
      <c r="F380" s="141">
        <v>0.13900000000000001</v>
      </c>
      <c r="G380" s="141"/>
      <c r="H380" s="141"/>
      <c r="I380" s="8" t="s">
        <v>43</v>
      </c>
      <c r="J380" s="8" t="s">
        <v>264</v>
      </c>
      <c r="K380" s="8">
        <v>2022</v>
      </c>
      <c r="L380" s="8" t="s">
        <v>352</v>
      </c>
    </row>
    <row r="381" spans="1:12" x14ac:dyDescent="0.35">
      <c r="A381" s="8" t="s">
        <v>218</v>
      </c>
      <c r="B381" s="8" t="s">
        <v>1151</v>
      </c>
      <c r="C381" s="8" t="s">
        <v>1069</v>
      </c>
      <c r="D381" s="8" t="s">
        <v>1095</v>
      </c>
      <c r="E381" s="8" t="s">
        <v>1105</v>
      </c>
      <c r="F381" s="141">
        <v>0.13900000000000001</v>
      </c>
      <c r="G381" s="141"/>
      <c r="H381" s="141"/>
      <c r="I381" s="8" t="s">
        <v>43</v>
      </c>
      <c r="J381" s="8" t="s">
        <v>264</v>
      </c>
      <c r="K381" s="8">
        <v>2023</v>
      </c>
      <c r="L381" s="8" t="s">
        <v>352</v>
      </c>
    </row>
    <row r="382" spans="1:12" x14ac:dyDescent="0.35">
      <c r="A382" s="8" t="s">
        <v>218</v>
      </c>
      <c r="B382" s="8" t="s">
        <v>1152</v>
      </c>
      <c r="C382" s="8" t="s">
        <v>1070</v>
      </c>
      <c r="D382" s="8" t="s">
        <v>1070</v>
      </c>
      <c r="E382" s="8" t="s">
        <v>1106</v>
      </c>
      <c r="F382" s="141">
        <v>9.11E-2</v>
      </c>
      <c r="G382" s="141"/>
      <c r="H382" s="141"/>
      <c r="I382" s="8" t="s">
        <v>43</v>
      </c>
      <c r="J382" s="8" t="s">
        <v>354</v>
      </c>
      <c r="K382" s="8">
        <v>2020</v>
      </c>
      <c r="L382" s="8" t="s">
        <v>602</v>
      </c>
    </row>
    <row r="383" spans="1:12" x14ac:dyDescent="0.35">
      <c r="A383" s="8" t="s">
        <v>218</v>
      </c>
      <c r="B383" s="8" t="s">
        <v>1153</v>
      </c>
      <c r="C383" s="8" t="s">
        <v>1071</v>
      </c>
      <c r="D383" s="8" t="s">
        <v>1071</v>
      </c>
      <c r="E383" s="8" t="s">
        <v>1107</v>
      </c>
      <c r="F383" s="141">
        <v>8.8200000000000001E-2</v>
      </c>
      <c r="G383" s="141"/>
      <c r="H383" s="141"/>
      <c r="I383" s="8" t="s">
        <v>43</v>
      </c>
      <c r="J383" s="8" t="s">
        <v>354</v>
      </c>
      <c r="K383" s="8">
        <v>2021</v>
      </c>
      <c r="L383" s="8" t="s">
        <v>602</v>
      </c>
    </row>
    <row r="384" spans="1:12" x14ac:dyDescent="0.35">
      <c r="A384" s="8" t="s">
        <v>218</v>
      </c>
      <c r="B384" s="8" t="s">
        <v>1154</v>
      </c>
      <c r="C384" s="8" t="s">
        <v>1072</v>
      </c>
      <c r="D384" s="8" t="s">
        <v>1072</v>
      </c>
      <c r="E384" s="8" t="s">
        <v>1108</v>
      </c>
      <c r="F384" s="141">
        <v>8.7999999999999995E-2</v>
      </c>
      <c r="G384" s="141"/>
      <c r="H384" s="141"/>
      <c r="I384" s="8" t="s">
        <v>43</v>
      </c>
      <c r="J384" s="8" t="s">
        <v>354</v>
      </c>
      <c r="K384" s="8">
        <v>2022</v>
      </c>
      <c r="L384" s="8" t="s">
        <v>601</v>
      </c>
    </row>
    <row r="385" spans="1:12" x14ac:dyDescent="0.35">
      <c r="A385" s="8" t="s">
        <v>218</v>
      </c>
      <c r="B385" s="8" t="s">
        <v>1155</v>
      </c>
      <c r="C385" s="8" t="s">
        <v>1073</v>
      </c>
      <c r="D385" s="8" t="s">
        <v>1073</v>
      </c>
      <c r="E385" s="8" t="s">
        <v>1109</v>
      </c>
      <c r="F385" s="141">
        <v>8.7999999999999995E-2</v>
      </c>
      <c r="G385" s="141"/>
      <c r="H385" s="141"/>
      <c r="I385" s="8" t="s">
        <v>43</v>
      </c>
      <c r="J385" s="8" t="s">
        <v>354</v>
      </c>
      <c r="K385" s="8">
        <v>2023</v>
      </c>
      <c r="L385" s="8" t="s">
        <v>601</v>
      </c>
    </row>
    <row r="386" spans="1:12" x14ac:dyDescent="0.35">
      <c r="A386" s="8" t="s">
        <v>218</v>
      </c>
      <c r="B386" s="8" t="s">
        <v>1156</v>
      </c>
      <c r="C386" s="8" t="s">
        <v>1074</v>
      </c>
      <c r="D386" s="8" t="s">
        <v>1074</v>
      </c>
      <c r="E386" s="8" t="s">
        <v>1102</v>
      </c>
      <c r="F386" s="141">
        <v>0.1</v>
      </c>
      <c r="G386" s="141"/>
      <c r="H386" s="141"/>
      <c r="I386" s="8" t="s">
        <v>43</v>
      </c>
      <c r="J386" s="8" t="s">
        <v>264</v>
      </c>
      <c r="K386" s="8">
        <v>2020</v>
      </c>
      <c r="L386" s="8" t="s">
        <v>355</v>
      </c>
    </row>
    <row r="387" spans="1:12" x14ac:dyDescent="0.35">
      <c r="A387" s="8" t="s">
        <v>218</v>
      </c>
      <c r="B387" s="8" t="s">
        <v>1157</v>
      </c>
      <c r="C387" s="8" t="s">
        <v>1075</v>
      </c>
      <c r="D387" s="8" t="s">
        <v>1075</v>
      </c>
      <c r="E387" s="8" t="s">
        <v>1103</v>
      </c>
      <c r="F387" s="141">
        <v>0.1</v>
      </c>
      <c r="G387" s="141"/>
      <c r="H387" s="141"/>
      <c r="I387" s="8" t="s">
        <v>43</v>
      </c>
      <c r="J387" s="8" t="s">
        <v>264</v>
      </c>
      <c r="K387" s="8">
        <v>2021</v>
      </c>
      <c r="L387" s="8" t="s">
        <v>355</v>
      </c>
    </row>
    <row r="388" spans="1:12" x14ac:dyDescent="0.35">
      <c r="A388" s="8" t="s">
        <v>218</v>
      </c>
      <c r="B388" s="8" t="s">
        <v>1158</v>
      </c>
      <c r="C388" s="8" t="s">
        <v>1076</v>
      </c>
      <c r="D388" s="8" t="s">
        <v>1076</v>
      </c>
      <c r="E388" s="8" t="s">
        <v>1104</v>
      </c>
      <c r="F388" s="141">
        <v>0.1</v>
      </c>
      <c r="G388" s="141"/>
      <c r="H388" s="141"/>
      <c r="I388" s="8" t="s">
        <v>43</v>
      </c>
      <c r="J388" s="8" t="s">
        <v>264</v>
      </c>
      <c r="K388" s="8">
        <v>2022</v>
      </c>
      <c r="L388" s="8" t="s">
        <v>352</v>
      </c>
    </row>
    <row r="389" spans="1:12" x14ac:dyDescent="0.35">
      <c r="A389" s="8" t="s">
        <v>218</v>
      </c>
      <c r="B389" s="8" t="s">
        <v>1159</v>
      </c>
      <c r="C389" s="8" t="s">
        <v>1077</v>
      </c>
      <c r="D389" s="8" t="s">
        <v>1077</v>
      </c>
      <c r="E389" s="8" t="s">
        <v>1105</v>
      </c>
      <c r="F389" s="141">
        <v>0.1</v>
      </c>
      <c r="G389" s="141"/>
      <c r="H389" s="141"/>
      <c r="I389" s="8" t="s">
        <v>43</v>
      </c>
      <c r="J389" s="8" t="s">
        <v>264</v>
      </c>
      <c r="K389" s="8">
        <v>2023</v>
      </c>
      <c r="L389" s="8" t="s">
        <v>352</v>
      </c>
    </row>
    <row r="390" spans="1:12" x14ac:dyDescent="0.35">
      <c r="A390" s="8" t="s">
        <v>218</v>
      </c>
      <c r="B390" s="8" t="s">
        <v>1162</v>
      </c>
      <c r="C390" s="8" t="s">
        <v>1080</v>
      </c>
      <c r="D390" s="8" t="s">
        <v>1098</v>
      </c>
      <c r="E390" s="8" t="s">
        <v>1120</v>
      </c>
      <c r="F390" s="141">
        <v>1.3000000000000002E-4</v>
      </c>
      <c r="G390" s="90"/>
      <c r="H390" s="141"/>
      <c r="I390" s="8" t="s">
        <v>42</v>
      </c>
      <c r="J390" s="8" t="s">
        <v>264</v>
      </c>
      <c r="K390" s="8">
        <v>2020</v>
      </c>
      <c r="L390" s="8" t="s">
        <v>353</v>
      </c>
    </row>
    <row r="391" spans="1:12" x14ac:dyDescent="0.35">
      <c r="A391" s="8" t="s">
        <v>218</v>
      </c>
      <c r="B391" s="8" t="s">
        <v>1317</v>
      </c>
      <c r="C391" s="8" t="s">
        <v>1339</v>
      </c>
      <c r="D391" s="8" t="s">
        <v>1361</v>
      </c>
      <c r="E391" s="8" t="s">
        <v>1367</v>
      </c>
      <c r="F391" s="141">
        <v>1.3900000000000002E-4</v>
      </c>
      <c r="G391" s="90"/>
      <c r="H391" s="141"/>
      <c r="I391" s="8" t="s">
        <v>42</v>
      </c>
      <c r="J391" s="8" t="s">
        <v>264</v>
      </c>
      <c r="K391" s="8">
        <v>2021</v>
      </c>
      <c r="L391" s="8" t="s">
        <v>353</v>
      </c>
    </row>
    <row r="392" spans="1:12" x14ac:dyDescent="0.35">
      <c r="A392" s="8" t="s">
        <v>218</v>
      </c>
      <c r="B392" s="8" t="s">
        <v>1318</v>
      </c>
      <c r="C392" s="8" t="s">
        <v>1340</v>
      </c>
      <c r="D392" s="8" t="s">
        <v>1362</v>
      </c>
      <c r="E392" s="8" t="s">
        <v>1368</v>
      </c>
      <c r="F392" s="141">
        <v>1.3900000000000002E-4</v>
      </c>
      <c r="G392" s="90"/>
      <c r="H392" s="141"/>
      <c r="I392" s="8" t="s">
        <v>42</v>
      </c>
      <c r="J392" s="8" t="s">
        <v>264</v>
      </c>
      <c r="K392" s="8">
        <v>2022</v>
      </c>
      <c r="L392" s="8" t="s">
        <v>352</v>
      </c>
    </row>
    <row r="393" spans="1:12" x14ac:dyDescent="0.35">
      <c r="A393" s="8" t="s">
        <v>218</v>
      </c>
      <c r="B393" s="8" t="s">
        <v>1319</v>
      </c>
      <c r="C393" s="8" t="s">
        <v>1341</v>
      </c>
      <c r="D393" s="8" t="s">
        <v>1363</v>
      </c>
      <c r="E393" s="8" t="s">
        <v>1369</v>
      </c>
      <c r="F393" s="141">
        <v>1.3900000000000002E-4</v>
      </c>
      <c r="G393" s="90"/>
      <c r="H393" s="141"/>
      <c r="I393" s="8" t="s">
        <v>42</v>
      </c>
      <c r="J393" s="8" t="s">
        <v>264</v>
      </c>
      <c r="K393" s="8">
        <v>2023</v>
      </c>
      <c r="L393" s="8" t="s">
        <v>352</v>
      </c>
    </row>
    <row r="394" spans="1:12" x14ac:dyDescent="0.35">
      <c r="A394" s="8" t="s">
        <v>218</v>
      </c>
      <c r="B394" s="8" t="s">
        <v>1320</v>
      </c>
      <c r="C394" s="8" t="s">
        <v>1342</v>
      </c>
      <c r="D394" s="8" t="s">
        <v>1342</v>
      </c>
      <c r="E394" s="8" t="s">
        <v>1370</v>
      </c>
      <c r="F394" s="141">
        <v>9.1100000000000005E-5</v>
      </c>
      <c r="G394" s="90"/>
      <c r="H394" s="141"/>
      <c r="I394" s="8" t="s">
        <v>42</v>
      </c>
      <c r="J394" s="8" t="s">
        <v>354</v>
      </c>
      <c r="K394" s="8">
        <v>2020</v>
      </c>
      <c r="L394" s="8" t="s">
        <v>602</v>
      </c>
    </row>
    <row r="395" spans="1:12" x14ac:dyDescent="0.35">
      <c r="A395" s="8" t="s">
        <v>218</v>
      </c>
      <c r="B395" s="8" t="s">
        <v>1321</v>
      </c>
      <c r="C395" s="8" t="s">
        <v>1343</v>
      </c>
      <c r="D395" s="8" t="s">
        <v>1343</v>
      </c>
      <c r="E395" s="8" t="s">
        <v>1371</v>
      </c>
      <c r="F395" s="141">
        <v>8.8200000000000003E-5</v>
      </c>
      <c r="G395" s="90"/>
      <c r="H395" s="141"/>
      <c r="I395" s="8" t="s">
        <v>42</v>
      </c>
      <c r="J395" s="8" t="s">
        <v>354</v>
      </c>
      <c r="K395" s="8">
        <v>2021</v>
      </c>
      <c r="L395" s="8" t="s">
        <v>602</v>
      </c>
    </row>
    <row r="396" spans="1:12" x14ac:dyDescent="0.35">
      <c r="A396" s="8" t="s">
        <v>218</v>
      </c>
      <c r="B396" s="8" t="s">
        <v>1322</v>
      </c>
      <c r="C396" s="8" t="s">
        <v>1344</v>
      </c>
      <c r="D396" s="8" t="s">
        <v>1344</v>
      </c>
      <c r="E396" s="8" t="s">
        <v>1372</v>
      </c>
      <c r="F396" s="141">
        <v>8.7999999999999998E-5</v>
      </c>
      <c r="G396" s="90"/>
      <c r="H396" s="141"/>
      <c r="I396" s="8" t="s">
        <v>42</v>
      </c>
      <c r="J396" s="8" t="s">
        <v>354</v>
      </c>
      <c r="K396" s="8">
        <v>2022</v>
      </c>
      <c r="L396" s="8" t="s">
        <v>601</v>
      </c>
    </row>
    <row r="397" spans="1:12" x14ac:dyDescent="0.35">
      <c r="A397" s="8" t="s">
        <v>218</v>
      </c>
      <c r="B397" s="8" t="s">
        <v>1323</v>
      </c>
      <c r="C397" s="8" t="s">
        <v>1345</v>
      </c>
      <c r="D397" s="8" t="s">
        <v>1345</v>
      </c>
      <c r="E397" s="8" t="s">
        <v>1373</v>
      </c>
      <c r="F397" s="141">
        <v>8.7999999999999998E-5</v>
      </c>
      <c r="G397" s="90"/>
      <c r="H397" s="141"/>
      <c r="I397" s="8" t="s">
        <v>42</v>
      </c>
      <c r="J397" s="8" t="s">
        <v>354</v>
      </c>
      <c r="K397" s="8">
        <v>2023</v>
      </c>
      <c r="L397" s="8" t="s">
        <v>601</v>
      </c>
    </row>
    <row r="398" spans="1:12" x14ac:dyDescent="0.35">
      <c r="A398" s="8" t="s">
        <v>218</v>
      </c>
      <c r="B398" s="8" t="s">
        <v>1324</v>
      </c>
      <c r="C398" s="8" t="s">
        <v>1346</v>
      </c>
      <c r="D398" s="8" t="s">
        <v>1346</v>
      </c>
      <c r="E398" s="8" t="s">
        <v>1120</v>
      </c>
      <c r="F398" s="141">
        <v>1E-4</v>
      </c>
      <c r="G398" s="90"/>
      <c r="H398" s="141"/>
      <c r="I398" s="8" t="s">
        <v>42</v>
      </c>
      <c r="J398" s="8" t="s">
        <v>264</v>
      </c>
      <c r="K398" s="8">
        <v>2020</v>
      </c>
      <c r="L398" s="8" t="s">
        <v>355</v>
      </c>
    </row>
    <row r="399" spans="1:12" x14ac:dyDescent="0.35">
      <c r="A399" s="8" t="s">
        <v>218</v>
      </c>
      <c r="B399" s="8" t="s">
        <v>1325</v>
      </c>
      <c r="C399" s="8" t="s">
        <v>1347</v>
      </c>
      <c r="D399" s="8" t="s">
        <v>1347</v>
      </c>
      <c r="E399" s="8" t="s">
        <v>1367</v>
      </c>
      <c r="F399" s="141">
        <v>1E-4</v>
      </c>
      <c r="G399" s="90"/>
      <c r="H399" s="141"/>
      <c r="I399" s="8" t="s">
        <v>42</v>
      </c>
      <c r="J399" s="8" t="s">
        <v>264</v>
      </c>
      <c r="K399" s="8">
        <v>2021</v>
      </c>
      <c r="L399" s="8" t="s">
        <v>355</v>
      </c>
    </row>
    <row r="400" spans="1:12" x14ac:dyDescent="0.35">
      <c r="A400" s="8" t="s">
        <v>218</v>
      </c>
      <c r="B400" s="8" t="s">
        <v>1326</v>
      </c>
      <c r="C400" s="8" t="s">
        <v>1348</v>
      </c>
      <c r="D400" s="8" t="s">
        <v>1348</v>
      </c>
      <c r="E400" s="8" t="s">
        <v>1368</v>
      </c>
      <c r="F400" s="141">
        <v>1E-4</v>
      </c>
      <c r="G400" s="90"/>
      <c r="H400" s="141"/>
      <c r="I400" s="8" t="s">
        <v>42</v>
      </c>
      <c r="J400" s="8" t="s">
        <v>264</v>
      </c>
      <c r="K400" s="8">
        <v>2022</v>
      </c>
      <c r="L400" s="8" t="s">
        <v>352</v>
      </c>
    </row>
    <row r="401" spans="1:12" x14ac:dyDescent="0.35">
      <c r="A401" s="8" t="s">
        <v>218</v>
      </c>
      <c r="B401" s="8" t="s">
        <v>1327</v>
      </c>
      <c r="C401" s="8" t="s">
        <v>1349</v>
      </c>
      <c r="D401" s="8" t="s">
        <v>1349</v>
      </c>
      <c r="E401" s="8" t="s">
        <v>1369</v>
      </c>
      <c r="F401" s="141">
        <v>1E-4</v>
      </c>
      <c r="G401" s="90"/>
      <c r="H401" s="141"/>
      <c r="I401" s="8" t="s">
        <v>42</v>
      </c>
      <c r="J401" s="8" t="s">
        <v>264</v>
      </c>
      <c r="K401" s="8">
        <v>2023</v>
      </c>
      <c r="L401" s="8" t="s">
        <v>352</v>
      </c>
    </row>
    <row r="402" spans="1:12" x14ac:dyDescent="0.35">
      <c r="A402" s="8" t="s">
        <v>218</v>
      </c>
      <c r="B402" s="8" t="s">
        <v>1165</v>
      </c>
      <c r="C402" s="8" t="s">
        <v>1083</v>
      </c>
      <c r="D402" s="8" t="s">
        <v>1101</v>
      </c>
      <c r="E402" s="8" t="s">
        <v>1123</v>
      </c>
      <c r="F402" s="141">
        <v>3.6111111111140001E-2</v>
      </c>
      <c r="G402" s="90"/>
      <c r="H402" s="141"/>
      <c r="I402" s="8" t="s">
        <v>106</v>
      </c>
      <c r="J402" s="8" t="s">
        <v>264</v>
      </c>
      <c r="K402" s="8">
        <v>2020</v>
      </c>
      <c r="L402" s="8" t="s">
        <v>353</v>
      </c>
    </row>
    <row r="403" spans="1:12" x14ac:dyDescent="0.35">
      <c r="A403" s="8" t="s">
        <v>218</v>
      </c>
      <c r="B403" s="8" t="s">
        <v>1328</v>
      </c>
      <c r="C403" s="8" t="s">
        <v>1350</v>
      </c>
      <c r="D403" s="8" t="s">
        <v>1364</v>
      </c>
      <c r="E403" s="8" t="s">
        <v>1374</v>
      </c>
      <c r="F403" s="141">
        <v>3.8611111111142002E-2</v>
      </c>
      <c r="G403" s="90"/>
      <c r="H403" s="141"/>
      <c r="I403" s="8" t="s">
        <v>106</v>
      </c>
      <c r="J403" s="8" t="s">
        <v>264</v>
      </c>
      <c r="K403" s="8">
        <v>2021</v>
      </c>
      <c r="L403" s="8" t="s">
        <v>353</v>
      </c>
    </row>
    <row r="404" spans="1:12" x14ac:dyDescent="0.35">
      <c r="A404" s="8" t="s">
        <v>218</v>
      </c>
      <c r="B404" s="8" t="s">
        <v>1329</v>
      </c>
      <c r="C404" s="8" t="s">
        <v>1351</v>
      </c>
      <c r="D404" s="8" t="s">
        <v>1365</v>
      </c>
      <c r="E404" s="8" t="s">
        <v>1375</v>
      </c>
      <c r="F404" s="141">
        <v>3.8611111111142002E-2</v>
      </c>
      <c r="G404" s="90"/>
      <c r="H404" s="141"/>
      <c r="I404" s="8" t="s">
        <v>106</v>
      </c>
      <c r="J404" s="8" t="s">
        <v>264</v>
      </c>
      <c r="K404" s="8">
        <v>2022</v>
      </c>
      <c r="L404" s="8" t="s">
        <v>352</v>
      </c>
    </row>
    <row r="405" spans="1:12" x14ac:dyDescent="0.35">
      <c r="A405" s="8" t="s">
        <v>218</v>
      </c>
      <c r="B405" s="8" t="s">
        <v>1330</v>
      </c>
      <c r="C405" s="8" t="s">
        <v>1352</v>
      </c>
      <c r="D405" s="8" t="s">
        <v>1366</v>
      </c>
      <c r="E405" s="8" t="s">
        <v>1376</v>
      </c>
      <c r="F405" s="141">
        <v>3.8611111111142002E-2</v>
      </c>
      <c r="G405" s="90"/>
      <c r="H405" s="141"/>
      <c r="I405" s="8" t="s">
        <v>106</v>
      </c>
      <c r="J405" s="8" t="s">
        <v>264</v>
      </c>
      <c r="K405" s="8">
        <v>2023</v>
      </c>
      <c r="L405" s="8" t="s">
        <v>352</v>
      </c>
    </row>
    <row r="406" spans="1:12" x14ac:dyDescent="0.35">
      <c r="A406" s="8" t="s">
        <v>218</v>
      </c>
      <c r="B406" s="8" t="s">
        <v>1331</v>
      </c>
      <c r="C406" s="8" t="s">
        <v>1353</v>
      </c>
      <c r="D406" s="8" t="s">
        <v>1353</v>
      </c>
      <c r="E406" s="8" t="s">
        <v>1377</v>
      </c>
      <c r="F406" s="141">
        <v>2.5305555555575798E-2</v>
      </c>
      <c r="G406" s="90"/>
      <c r="H406" s="141"/>
      <c r="I406" s="8" t="s">
        <v>106</v>
      </c>
      <c r="J406" s="8" t="s">
        <v>354</v>
      </c>
      <c r="K406" s="8">
        <v>2020</v>
      </c>
      <c r="L406" s="8" t="s">
        <v>602</v>
      </c>
    </row>
    <row r="407" spans="1:12" x14ac:dyDescent="0.35">
      <c r="A407" s="8" t="s">
        <v>218</v>
      </c>
      <c r="B407" s="8" t="s">
        <v>1332</v>
      </c>
      <c r="C407" s="8" t="s">
        <v>1354</v>
      </c>
      <c r="D407" s="8" t="s">
        <v>1354</v>
      </c>
      <c r="E407" s="8" t="s">
        <v>1378</v>
      </c>
      <c r="F407" s="141">
        <v>2.45000000000196E-2</v>
      </c>
      <c r="G407" s="90"/>
      <c r="H407" s="141"/>
      <c r="I407" s="8" t="s">
        <v>106</v>
      </c>
      <c r="J407" s="8" t="s">
        <v>354</v>
      </c>
      <c r="K407" s="8">
        <v>2021</v>
      </c>
      <c r="L407" s="8" t="s">
        <v>602</v>
      </c>
    </row>
    <row r="408" spans="1:12" x14ac:dyDescent="0.35">
      <c r="A408" s="8" t="s">
        <v>218</v>
      </c>
      <c r="B408" s="8" t="s">
        <v>1333</v>
      </c>
      <c r="C408" s="8" t="s">
        <v>1355</v>
      </c>
      <c r="D408" s="8" t="s">
        <v>1355</v>
      </c>
      <c r="E408" s="8" t="s">
        <v>1379</v>
      </c>
      <c r="F408" s="141">
        <v>2.4444444444463996E-2</v>
      </c>
      <c r="G408" s="90"/>
      <c r="H408" s="141"/>
      <c r="I408" s="8" t="s">
        <v>106</v>
      </c>
      <c r="J408" s="8" t="s">
        <v>354</v>
      </c>
      <c r="K408" s="8">
        <v>2022</v>
      </c>
      <c r="L408" s="8" t="s">
        <v>601</v>
      </c>
    </row>
    <row r="409" spans="1:12" x14ac:dyDescent="0.35">
      <c r="A409" s="8" t="s">
        <v>218</v>
      </c>
      <c r="B409" s="8" t="s">
        <v>1334</v>
      </c>
      <c r="C409" s="8" t="s">
        <v>1356</v>
      </c>
      <c r="D409" s="8" t="s">
        <v>1356</v>
      </c>
      <c r="E409" s="8" t="s">
        <v>1380</v>
      </c>
      <c r="F409" s="141">
        <v>2.4444444444463996E-2</v>
      </c>
      <c r="G409" s="90"/>
      <c r="H409" s="141"/>
      <c r="I409" s="8" t="s">
        <v>106</v>
      </c>
      <c r="J409" s="8" t="s">
        <v>354</v>
      </c>
      <c r="K409" s="8">
        <v>2023</v>
      </c>
      <c r="L409" s="8" t="s">
        <v>601</v>
      </c>
    </row>
    <row r="410" spans="1:12" x14ac:dyDescent="0.35">
      <c r="A410" s="8" t="s">
        <v>218</v>
      </c>
      <c r="B410" s="8" t="s">
        <v>1335</v>
      </c>
      <c r="C410" s="8" t="s">
        <v>1357</v>
      </c>
      <c r="D410" s="8" t="s">
        <v>1357</v>
      </c>
      <c r="E410" s="8" t="s">
        <v>1123</v>
      </c>
      <c r="F410" s="141">
        <v>2.7777777777799998E-2</v>
      </c>
      <c r="G410" s="90"/>
      <c r="H410" s="141"/>
      <c r="I410" s="8" t="s">
        <v>106</v>
      </c>
      <c r="J410" s="8" t="s">
        <v>264</v>
      </c>
      <c r="K410" s="8">
        <v>2020</v>
      </c>
      <c r="L410" s="8" t="s">
        <v>355</v>
      </c>
    </row>
    <row r="411" spans="1:12" x14ac:dyDescent="0.35">
      <c r="A411" s="8" t="s">
        <v>218</v>
      </c>
      <c r="B411" s="8" t="s">
        <v>1336</v>
      </c>
      <c r="C411" s="8" t="s">
        <v>1358</v>
      </c>
      <c r="D411" s="8" t="s">
        <v>1358</v>
      </c>
      <c r="E411" s="8" t="s">
        <v>1374</v>
      </c>
      <c r="F411" s="141">
        <v>2.7777777777799998E-2</v>
      </c>
      <c r="G411" s="90"/>
      <c r="H411" s="141"/>
      <c r="I411" s="8" t="s">
        <v>106</v>
      </c>
      <c r="J411" s="8" t="s">
        <v>264</v>
      </c>
      <c r="K411" s="8">
        <v>2021</v>
      </c>
      <c r="L411" s="8" t="s">
        <v>355</v>
      </c>
    </row>
    <row r="412" spans="1:12" x14ac:dyDescent="0.35">
      <c r="A412" s="8" t="s">
        <v>218</v>
      </c>
      <c r="B412" s="8" t="s">
        <v>1337</v>
      </c>
      <c r="C412" s="8" t="s">
        <v>1359</v>
      </c>
      <c r="D412" s="8" t="s">
        <v>1359</v>
      </c>
      <c r="E412" s="8" t="s">
        <v>1375</v>
      </c>
      <c r="F412" s="141">
        <v>2.7777777777799998E-2</v>
      </c>
      <c r="G412" s="90"/>
      <c r="H412" s="141"/>
      <c r="I412" s="8" t="s">
        <v>106</v>
      </c>
      <c r="J412" s="8" t="s">
        <v>264</v>
      </c>
      <c r="K412" s="8">
        <v>2022</v>
      </c>
      <c r="L412" s="8" t="s">
        <v>352</v>
      </c>
    </row>
    <row r="413" spans="1:12" x14ac:dyDescent="0.35">
      <c r="A413" s="8" t="s">
        <v>218</v>
      </c>
      <c r="B413" s="8" t="s">
        <v>1338</v>
      </c>
      <c r="C413" s="8" t="s">
        <v>1360</v>
      </c>
      <c r="D413" s="8" t="s">
        <v>1360</v>
      </c>
      <c r="E413" s="8" t="s">
        <v>1376</v>
      </c>
      <c r="F413" s="141">
        <v>2.7777777777799998E-2</v>
      </c>
      <c r="G413" s="90"/>
      <c r="H413" s="141"/>
      <c r="I413" s="8" t="s">
        <v>106</v>
      </c>
      <c r="J413" s="8" t="s">
        <v>264</v>
      </c>
      <c r="K413" s="8">
        <v>2023</v>
      </c>
      <c r="L413" s="8" t="s">
        <v>352</v>
      </c>
    </row>
    <row r="414" spans="1:12" x14ac:dyDescent="0.35">
      <c r="A414" s="8"/>
      <c r="B414" s="8"/>
      <c r="C414" s="8"/>
      <c r="D414" s="8"/>
      <c r="E414" s="8"/>
      <c r="F414" s="141"/>
      <c r="G414" s="141"/>
      <c r="H414" s="141"/>
      <c r="I414" s="8"/>
      <c r="J414" s="8"/>
      <c r="K414" s="8"/>
      <c r="L414" s="8"/>
    </row>
    <row r="415" spans="1:12" x14ac:dyDescent="0.35">
      <c r="A415" s="8"/>
      <c r="B415" s="8"/>
      <c r="C415" s="8"/>
      <c r="D415" s="8"/>
      <c r="E415" s="8"/>
      <c r="F415" s="141"/>
      <c r="G415" s="141"/>
      <c r="H415" s="141"/>
      <c r="I415" s="8"/>
      <c r="J415" s="8"/>
      <c r="K415" s="8"/>
      <c r="L415" s="8"/>
    </row>
    <row r="416" spans="1:12" x14ac:dyDescent="0.35">
      <c r="A416" s="8"/>
      <c r="B416" s="8"/>
      <c r="C416" s="8"/>
      <c r="D416" s="8"/>
      <c r="E416" s="8"/>
      <c r="F416" s="141"/>
      <c r="G416" s="141"/>
      <c r="H416" s="141"/>
      <c r="I416" s="8"/>
      <c r="J416" s="8"/>
      <c r="K416" s="8"/>
      <c r="L416" s="8"/>
    </row>
    <row r="417" spans="1:12" x14ac:dyDescent="0.35">
      <c r="A417" s="8"/>
      <c r="B417" s="8"/>
      <c r="C417" s="8"/>
      <c r="D417" s="8"/>
      <c r="E417" s="8"/>
      <c r="F417" s="141"/>
      <c r="G417" s="141"/>
      <c r="H417" s="141"/>
      <c r="I417" s="8"/>
      <c r="J417" s="8"/>
      <c r="K417" s="8"/>
      <c r="L417" s="8"/>
    </row>
    <row r="418" spans="1:12" x14ac:dyDescent="0.35">
      <c r="A418" s="8"/>
      <c r="B418" s="8"/>
      <c r="C418" s="8"/>
      <c r="D418" s="8"/>
      <c r="E418" s="8"/>
      <c r="F418" s="141"/>
      <c r="G418" s="141"/>
      <c r="H418" s="141"/>
      <c r="I418" s="8"/>
      <c r="J418" s="8"/>
      <c r="K418" s="8"/>
      <c r="L418" s="8"/>
    </row>
    <row r="419" spans="1:12" x14ac:dyDescent="0.35">
      <c r="A419" s="8"/>
      <c r="B419" s="8"/>
      <c r="C419" s="8"/>
      <c r="D419" s="8"/>
      <c r="E419" s="8"/>
      <c r="F419" s="141"/>
      <c r="G419" s="141"/>
      <c r="H419" s="141"/>
      <c r="I419" s="8"/>
      <c r="J419" s="8"/>
      <c r="K419" s="8"/>
      <c r="L419" s="8"/>
    </row>
    <row r="420" spans="1:12" x14ac:dyDescent="0.35">
      <c r="A420" s="8"/>
      <c r="B420" s="8"/>
      <c r="C420" s="8"/>
      <c r="D420" s="8"/>
      <c r="E420" s="8"/>
      <c r="F420" s="141"/>
      <c r="G420" s="141"/>
      <c r="H420" s="141"/>
      <c r="I420" s="8"/>
      <c r="J420" s="8"/>
      <c r="K420" s="8"/>
      <c r="L420" s="8"/>
    </row>
    <row r="421" spans="1:12" x14ac:dyDescent="0.35">
      <c r="A421" s="8"/>
      <c r="B421" s="8"/>
      <c r="C421" s="8"/>
      <c r="D421" s="8"/>
      <c r="E421" s="8"/>
      <c r="F421" s="141"/>
      <c r="G421" s="141"/>
      <c r="H421" s="141"/>
      <c r="I421" s="8"/>
      <c r="J421" s="8"/>
      <c r="K421" s="8"/>
      <c r="L421" s="8"/>
    </row>
    <row r="422" spans="1:12" x14ac:dyDescent="0.35">
      <c r="A422" s="8"/>
      <c r="B422" s="8"/>
      <c r="C422" s="8"/>
      <c r="D422" s="8"/>
      <c r="E422" s="8"/>
      <c r="F422" s="141"/>
      <c r="G422" s="141"/>
      <c r="H422" s="141"/>
      <c r="I422" s="8"/>
      <c r="J422" s="8"/>
      <c r="K422" s="8"/>
      <c r="L422" s="8"/>
    </row>
    <row r="423" spans="1:12" x14ac:dyDescent="0.35">
      <c r="A423" s="8"/>
      <c r="B423" s="8"/>
      <c r="C423" s="8"/>
      <c r="D423" s="8"/>
      <c r="E423" s="8"/>
      <c r="F423" s="141"/>
      <c r="G423" s="141"/>
      <c r="H423" s="141"/>
      <c r="I423" s="8"/>
      <c r="J423" s="8"/>
      <c r="K423" s="8"/>
      <c r="L423" s="8"/>
    </row>
    <row r="424" spans="1:12" x14ac:dyDescent="0.35">
      <c r="A424" s="8"/>
      <c r="B424" s="8"/>
      <c r="C424" s="8"/>
      <c r="D424" s="8"/>
      <c r="E424" s="8"/>
      <c r="F424" s="141"/>
      <c r="G424" s="141"/>
      <c r="H424" s="141"/>
      <c r="I424" s="8"/>
      <c r="J424" s="8"/>
      <c r="K424" s="8"/>
      <c r="L424" s="8"/>
    </row>
    <row r="425" spans="1:12" x14ac:dyDescent="0.35">
      <c r="A425" s="8"/>
      <c r="B425" s="8"/>
      <c r="C425" s="8"/>
      <c r="D425" s="8"/>
      <c r="E425" s="8"/>
      <c r="F425" s="141"/>
      <c r="G425" s="141"/>
      <c r="H425" s="141"/>
      <c r="I425" s="8"/>
      <c r="J425" s="8"/>
      <c r="K425" s="8"/>
      <c r="L425" s="8"/>
    </row>
    <row r="426" spans="1:12" x14ac:dyDescent="0.35">
      <c r="A426" s="8"/>
      <c r="B426" s="8"/>
      <c r="C426" s="8"/>
      <c r="D426" s="8"/>
      <c r="E426" s="8"/>
      <c r="F426" s="141"/>
      <c r="G426" s="141"/>
      <c r="H426" s="141"/>
      <c r="I426" s="8"/>
      <c r="J426" s="8"/>
      <c r="K426" s="8"/>
      <c r="L426" s="8"/>
    </row>
    <row r="427" spans="1:12" x14ac:dyDescent="0.35">
      <c r="A427" s="8"/>
      <c r="B427" s="8"/>
      <c r="C427" s="8"/>
      <c r="D427" s="8"/>
      <c r="E427" s="8"/>
      <c r="F427" s="141"/>
      <c r="G427" s="141"/>
      <c r="H427" s="141"/>
      <c r="I427" s="8"/>
      <c r="J427" s="8"/>
      <c r="K427" s="8"/>
      <c r="L427" s="8"/>
    </row>
    <row r="428" spans="1:12" x14ac:dyDescent="0.35">
      <c r="A428" s="8"/>
      <c r="B428" s="8"/>
      <c r="C428" s="8"/>
      <c r="D428" s="8"/>
      <c r="E428" s="8"/>
      <c r="F428" s="141"/>
      <c r="G428" s="141"/>
      <c r="H428" s="141"/>
      <c r="I428" s="8"/>
      <c r="J428" s="8"/>
      <c r="K428" s="8"/>
      <c r="L428" s="8"/>
    </row>
    <row r="429" spans="1:12" x14ac:dyDescent="0.35">
      <c r="A429" s="8"/>
      <c r="B429" s="8"/>
      <c r="C429" s="8"/>
      <c r="D429" s="8"/>
      <c r="E429" s="8"/>
      <c r="F429" s="141"/>
      <c r="G429" s="141"/>
      <c r="H429" s="141"/>
      <c r="I429" s="8"/>
      <c r="J429" s="8"/>
      <c r="K429" s="8"/>
      <c r="L429" s="8"/>
    </row>
    <row r="430" spans="1:12" x14ac:dyDescent="0.35">
      <c r="A430" s="8"/>
      <c r="B430" s="8"/>
      <c r="C430" s="8"/>
      <c r="D430" s="8"/>
      <c r="E430" s="8"/>
      <c r="F430" s="141"/>
      <c r="G430" s="141"/>
      <c r="H430" s="141"/>
      <c r="I430" s="8"/>
      <c r="J430" s="8"/>
      <c r="K430" s="8"/>
      <c r="L430" s="8"/>
    </row>
    <row r="431" spans="1:12" x14ac:dyDescent="0.35">
      <c r="A431" s="8"/>
      <c r="B431" s="8"/>
      <c r="C431" s="8"/>
      <c r="D431" s="8"/>
      <c r="E431" s="8"/>
      <c r="F431" s="141"/>
      <c r="G431" s="141"/>
      <c r="H431" s="141"/>
      <c r="I431" s="8"/>
      <c r="J431" s="8"/>
      <c r="K431" s="8"/>
      <c r="L431" s="8"/>
    </row>
    <row r="432" spans="1:12" x14ac:dyDescent="0.35">
      <c r="A432" s="8"/>
      <c r="B432" s="8"/>
      <c r="C432" s="8"/>
      <c r="D432" s="8"/>
      <c r="E432" s="8"/>
      <c r="F432" s="141"/>
      <c r="G432" s="141"/>
      <c r="H432" s="141"/>
      <c r="I432" s="8"/>
      <c r="J432" s="8"/>
      <c r="K432" s="8"/>
      <c r="L432" s="8"/>
    </row>
    <row r="433" spans="1:12" x14ac:dyDescent="0.35">
      <c r="A433" s="8"/>
      <c r="B433" s="8"/>
      <c r="C433" s="8"/>
      <c r="D433" s="8"/>
      <c r="E433" s="8"/>
      <c r="F433" s="141"/>
      <c r="G433" s="141"/>
      <c r="H433" s="141"/>
      <c r="I433" s="8"/>
      <c r="J433" s="8"/>
      <c r="K433" s="8"/>
      <c r="L433" s="8"/>
    </row>
    <row r="434" spans="1:12" x14ac:dyDescent="0.35">
      <c r="A434" s="8"/>
      <c r="B434" s="8"/>
      <c r="C434" s="8"/>
      <c r="D434" s="8"/>
      <c r="E434" s="8"/>
      <c r="F434" s="141"/>
      <c r="G434" s="141"/>
      <c r="H434" s="141"/>
      <c r="I434" s="8"/>
      <c r="J434" s="8"/>
      <c r="K434" s="8"/>
      <c r="L434" s="8"/>
    </row>
    <row r="435" spans="1:12" x14ac:dyDescent="0.35">
      <c r="A435" s="8"/>
      <c r="B435" s="8"/>
      <c r="C435" s="8"/>
      <c r="D435" s="8"/>
      <c r="E435" s="8"/>
      <c r="F435" s="141"/>
      <c r="G435" s="141"/>
      <c r="H435" s="141"/>
      <c r="I435" s="8"/>
      <c r="J435" s="8"/>
      <c r="K435" s="8"/>
      <c r="L435" s="8"/>
    </row>
    <row r="436" spans="1:12" x14ac:dyDescent="0.35">
      <c r="A436" s="8"/>
      <c r="B436" s="8"/>
      <c r="C436" s="8"/>
      <c r="D436" s="8"/>
      <c r="E436" s="8"/>
      <c r="F436" s="141"/>
      <c r="G436" s="141"/>
      <c r="H436" s="141"/>
      <c r="I436" s="8"/>
      <c r="J436" s="8"/>
      <c r="K436" s="8"/>
      <c r="L436" s="8"/>
    </row>
    <row r="437" spans="1:12" x14ac:dyDescent="0.35">
      <c r="A437" s="8"/>
      <c r="B437" s="8"/>
      <c r="C437" s="8"/>
      <c r="D437" s="8"/>
      <c r="E437" s="8"/>
      <c r="F437" s="141"/>
      <c r="G437" s="141"/>
      <c r="H437" s="141"/>
      <c r="I437" s="8"/>
      <c r="J437" s="8"/>
      <c r="K437" s="8"/>
      <c r="L437" s="8"/>
    </row>
    <row r="438" spans="1:12" x14ac:dyDescent="0.35">
      <c r="A438" s="8"/>
      <c r="B438" s="8"/>
      <c r="C438" s="8"/>
      <c r="D438" s="8"/>
      <c r="E438" s="8"/>
      <c r="F438" s="141"/>
      <c r="G438" s="141"/>
      <c r="H438" s="141"/>
      <c r="I438" s="8"/>
      <c r="J438" s="8"/>
      <c r="K438" s="8"/>
      <c r="L438" s="8"/>
    </row>
    <row r="439" spans="1:12" x14ac:dyDescent="0.35">
      <c r="A439" s="8"/>
      <c r="B439" s="8"/>
      <c r="C439" s="8"/>
      <c r="D439" s="8"/>
      <c r="E439" s="8"/>
      <c r="F439" s="141"/>
      <c r="G439" s="141"/>
      <c r="H439" s="141"/>
      <c r="I439" s="8"/>
      <c r="J439" s="8"/>
      <c r="K439" s="8"/>
      <c r="L439" s="8"/>
    </row>
    <row r="440" spans="1:12" x14ac:dyDescent="0.35">
      <c r="A440" s="8"/>
      <c r="B440" s="8"/>
      <c r="C440" s="8"/>
      <c r="D440" s="8"/>
      <c r="E440" s="8"/>
      <c r="F440" s="141"/>
      <c r="G440" s="141"/>
      <c r="H440" s="141"/>
      <c r="I440" s="8"/>
      <c r="J440" s="8"/>
      <c r="K440" s="8"/>
      <c r="L440" s="8"/>
    </row>
    <row r="441" spans="1:12" x14ac:dyDescent="0.35">
      <c r="A441" s="8"/>
      <c r="B441" s="8"/>
      <c r="C441" s="8"/>
      <c r="D441" s="8"/>
      <c r="E441" s="8"/>
      <c r="F441" s="141"/>
      <c r="G441" s="141"/>
      <c r="H441" s="141"/>
      <c r="I441" s="8"/>
      <c r="J441" s="8"/>
      <c r="K441" s="8"/>
      <c r="L441" s="8"/>
    </row>
    <row r="442" spans="1:12" x14ac:dyDescent="0.35">
      <c r="A442" s="8"/>
      <c r="B442" s="8"/>
      <c r="C442" s="8"/>
      <c r="D442" s="8"/>
      <c r="E442" s="8"/>
      <c r="F442" s="141"/>
      <c r="G442" s="141"/>
      <c r="H442" s="141"/>
      <c r="I442" s="8"/>
      <c r="J442" s="8"/>
      <c r="K442" s="8"/>
      <c r="L442" s="8"/>
    </row>
    <row r="443" spans="1:12" x14ac:dyDescent="0.35">
      <c r="A443" s="8"/>
      <c r="B443" s="8"/>
      <c r="C443" s="8"/>
      <c r="D443" s="8"/>
      <c r="E443" s="8"/>
      <c r="F443" s="141"/>
      <c r="G443" s="141"/>
      <c r="H443" s="141"/>
      <c r="I443" s="8"/>
      <c r="J443" s="8"/>
      <c r="K443" s="8"/>
      <c r="L443" s="8"/>
    </row>
    <row r="444" spans="1:12" x14ac:dyDescent="0.35">
      <c r="A444" s="8"/>
      <c r="B444" s="8"/>
      <c r="C444" s="8"/>
      <c r="D444" s="8"/>
      <c r="E444" s="8"/>
      <c r="F444" s="141"/>
      <c r="G444" s="141"/>
      <c r="H444" s="141"/>
      <c r="I444" s="8"/>
      <c r="J444" s="8"/>
      <c r="K444" s="8"/>
      <c r="L444" s="8"/>
    </row>
    <row r="445" spans="1:12" x14ac:dyDescent="0.35">
      <c r="A445" s="8"/>
      <c r="B445" s="8"/>
      <c r="C445" s="8"/>
      <c r="D445" s="8"/>
      <c r="E445" s="8"/>
      <c r="F445" s="141"/>
      <c r="G445" s="141"/>
      <c r="H445" s="141"/>
      <c r="I445" s="8"/>
      <c r="J445" s="8"/>
      <c r="K445" s="8"/>
      <c r="L445" s="8"/>
    </row>
    <row r="446" spans="1:12" x14ac:dyDescent="0.35">
      <c r="A446" s="8"/>
      <c r="B446" s="8"/>
      <c r="C446" s="8"/>
      <c r="D446" s="8"/>
      <c r="E446" s="8"/>
      <c r="F446" s="141"/>
      <c r="G446" s="141"/>
      <c r="H446" s="141"/>
      <c r="I446" s="8"/>
      <c r="J446" s="8"/>
      <c r="K446" s="8"/>
      <c r="L446" s="8"/>
    </row>
    <row r="447" spans="1:12" x14ac:dyDescent="0.35">
      <c r="A447" s="8"/>
      <c r="B447" s="8"/>
      <c r="C447" s="8"/>
      <c r="D447" s="8"/>
      <c r="E447" s="8"/>
      <c r="F447" s="141"/>
      <c r="G447" s="141"/>
      <c r="H447" s="141"/>
      <c r="I447" s="8"/>
      <c r="J447" s="8"/>
      <c r="K447" s="8"/>
      <c r="L447" s="8"/>
    </row>
    <row r="448" spans="1:12" x14ac:dyDescent="0.35">
      <c r="A448" s="8"/>
      <c r="B448" s="8"/>
      <c r="C448" s="8"/>
      <c r="D448" s="8"/>
      <c r="E448" s="8"/>
      <c r="F448" s="141"/>
      <c r="G448" s="141"/>
      <c r="H448" s="141"/>
      <c r="I448" s="8"/>
      <c r="J448" s="8"/>
      <c r="K448" s="8"/>
      <c r="L448" s="8"/>
    </row>
    <row r="449" spans="1:12" x14ac:dyDescent="0.35">
      <c r="A449" s="8"/>
      <c r="B449" s="8"/>
      <c r="C449" s="8"/>
      <c r="D449" s="8"/>
      <c r="E449" s="8"/>
      <c r="F449" s="141"/>
      <c r="G449" s="141"/>
      <c r="H449" s="141"/>
      <c r="I449" s="8"/>
      <c r="J449" s="8"/>
      <c r="K449" s="8"/>
      <c r="L449" s="8"/>
    </row>
  </sheetData>
  <autoFilter ref="A1:L1" xr:uid="{289F4699-7F9E-4497-8387-81D82C2396BE}">
    <sortState xmlns:xlrd2="http://schemas.microsoft.com/office/spreadsheetml/2017/richdata2" ref="A2:L452">
      <sortCondition ref="A1"/>
    </sortState>
  </autoFilter>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38F7-A34F-40B0-AF65-49150CED8708}">
  <dimension ref="A1:O10"/>
  <sheetViews>
    <sheetView workbookViewId="0">
      <selection activeCell="K33" sqref="K33:K35"/>
    </sheetView>
  </sheetViews>
  <sheetFormatPr defaultColWidth="0" defaultRowHeight="14.5" zeroHeight="1" x14ac:dyDescent="0.35"/>
  <cols>
    <col min="1" max="1" width="35.7265625" style="83" bestFit="1" customWidth="1"/>
    <col min="2" max="3" width="15.54296875" style="83" customWidth="1"/>
    <col min="4" max="14" width="8.7265625" style="83" customWidth="1"/>
    <col min="15" max="15" width="5.54296875" style="82" customWidth="1"/>
    <col min="16" max="16384" width="8.7265625" style="83" hidden="1"/>
  </cols>
  <sheetData>
    <row r="1" spans="1:14" ht="29" x14ac:dyDescent="0.35">
      <c r="A1" s="135" t="s">
        <v>276</v>
      </c>
      <c r="B1" s="135" t="s">
        <v>277</v>
      </c>
      <c r="C1" s="135" t="s">
        <v>202</v>
      </c>
      <c r="D1" s="562"/>
      <c r="E1" s="563"/>
      <c r="F1" s="563"/>
      <c r="G1" s="563"/>
      <c r="H1" s="563"/>
      <c r="I1" s="563"/>
      <c r="J1" s="563"/>
      <c r="K1" s="563"/>
      <c r="L1" s="563"/>
      <c r="M1" s="563"/>
      <c r="N1" s="564"/>
    </row>
    <row r="2" spans="1:14" x14ac:dyDescent="0.35">
      <c r="A2" s="133" t="s">
        <v>278</v>
      </c>
      <c r="B2" s="133">
        <v>97</v>
      </c>
      <c r="C2" s="133" t="s">
        <v>279</v>
      </c>
      <c r="D2" s="565"/>
      <c r="E2" s="566"/>
      <c r="F2" s="566"/>
      <c r="G2" s="566"/>
      <c r="H2" s="566"/>
      <c r="I2" s="566"/>
      <c r="J2" s="566"/>
      <c r="K2" s="566"/>
      <c r="L2" s="566"/>
      <c r="M2" s="566"/>
      <c r="N2" s="567"/>
    </row>
    <row r="3" spans="1:14" x14ac:dyDescent="0.35">
      <c r="A3" s="133" t="s">
        <v>280</v>
      </c>
      <c r="B3" s="133">
        <v>114</v>
      </c>
      <c r="C3" s="133" t="s">
        <v>279</v>
      </c>
      <c r="D3" s="565"/>
      <c r="E3" s="566"/>
      <c r="F3" s="566"/>
      <c r="G3" s="566"/>
      <c r="H3" s="566"/>
      <c r="I3" s="566"/>
      <c r="J3" s="566"/>
      <c r="K3" s="566"/>
      <c r="L3" s="566"/>
      <c r="M3" s="566"/>
      <c r="N3" s="567"/>
    </row>
    <row r="4" spans="1:14" x14ac:dyDescent="0.35">
      <c r="A4" s="133" t="s">
        <v>281</v>
      </c>
      <c r="B4" s="133">
        <v>96</v>
      </c>
      <c r="C4" s="133" t="s">
        <v>279</v>
      </c>
      <c r="D4" s="565"/>
      <c r="E4" s="566"/>
      <c r="F4" s="566"/>
      <c r="G4" s="566"/>
      <c r="H4" s="566"/>
      <c r="I4" s="566"/>
      <c r="J4" s="566"/>
      <c r="K4" s="566"/>
      <c r="L4" s="566"/>
      <c r="M4" s="566"/>
      <c r="N4" s="567"/>
    </row>
    <row r="5" spans="1:14" x14ac:dyDescent="0.35">
      <c r="A5" s="133" t="s">
        <v>282</v>
      </c>
      <c r="B5" s="133">
        <v>92</v>
      </c>
      <c r="C5" s="133" t="s">
        <v>279</v>
      </c>
      <c r="D5" s="565"/>
      <c r="E5" s="566"/>
      <c r="F5" s="566"/>
      <c r="G5" s="566"/>
      <c r="H5" s="566"/>
      <c r="I5" s="566"/>
      <c r="J5" s="566"/>
      <c r="K5" s="566"/>
      <c r="L5" s="566"/>
      <c r="M5" s="566"/>
      <c r="N5" s="567"/>
    </row>
    <row r="6" spans="1:14" x14ac:dyDescent="0.35">
      <c r="A6" s="133" t="s">
        <v>283</v>
      </c>
      <c r="B6" s="133">
        <v>107</v>
      </c>
      <c r="C6" s="133" t="s">
        <v>279</v>
      </c>
      <c r="D6" s="565"/>
      <c r="E6" s="566"/>
      <c r="F6" s="566"/>
      <c r="G6" s="566"/>
      <c r="H6" s="566"/>
      <c r="I6" s="566"/>
      <c r="J6" s="566"/>
      <c r="K6" s="566"/>
      <c r="L6" s="566"/>
      <c r="M6" s="566"/>
      <c r="N6" s="567"/>
    </row>
    <row r="7" spans="1:14" x14ac:dyDescent="0.35">
      <c r="A7" s="133" t="s">
        <v>284</v>
      </c>
      <c r="B7" s="133">
        <v>103</v>
      </c>
      <c r="C7" s="133" t="s">
        <v>279</v>
      </c>
      <c r="D7" s="565"/>
      <c r="E7" s="566"/>
      <c r="F7" s="566"/>
      <c r="G7" s="566"/>
      <c r="H7" s="566"/>
      <c r="I7" s="566"/>
      <c r="J7" s="566"/>
      <c r="K7" s="566"/>
      <c r="L7" s="566"/>
      <c r="M7" s="566"/>
      <c r="N7" s="567"/>
    </row>
    <row r="8" spans="1:14" x14ac:dyDescent="0.35">
      <c r="A8" s="133" t="s">
        <v>285</v>
      </c>
      <c r="B8" s="133">
        <v>103</v>
      </c>
      <c r="C8" s="133" t="s">
        <v>279</v>
      </c>
      <c r="D8" s="565"/>
      <c r="E8" s="566"/>
      <c r="F8" s="566"/>
      <c r="G8" s="566"/>
      <c r="H8" s="566"/>
      <c r="I8" s="566"/>
      <c r="J8" s="566"/>
      <c r="K8" s="566"/>
      <c r="L8" s="566"/>
      <c r="M8" s="566"/>
      <c r="N8" s="567"/>
    </row>
    <row r="9" spans="1:14" x14ac:dyDescent="0.35">
      <c r="A9" s="132" t="s">
        <v>286</v>
      </c>
      <c r="B9" s="134">
        <f>AVERAGE(B2:B8)</f>
        <v>101.71428571428571</v>
      </c>
      <c r="C9" s="132" t="s">
        <v>279</v>
      </c>
      <c r="D9" s="568"/>
      <c r="E9" s="569"/>
      <c r="F9" s="569"/>
      <c r="G9" s="569"/>
      <c r="H9" s="569"/>
      <c r="I9" s="569"/>
      <c r="J9" s="569"/>
      <c r="K9" s="569"/>
      <c r="L9" s="569"/>
      <c r="M9" s="569"/>
      <c r="N9" s="570"/>
    </row>
    <row r="10" spans="1:14" s="82" customFormat="1" x14ac:dyDescent="0.35"/>
  </sheetData>
  <mergeCells count="1">
    <mergeCell ref="D1:N9"/>
  </mergeCells>
  <phoneticPr fontId="14"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F8345C2945544B844E7C4C8013C071" ma:contentTypeVersion="6" ma:contentTypeDescription="Create a new document." ma:contentTypeScope="" ma:versionID="053b5591537f9a3abfc4a470d563ac33">
  <xsd:schema xmlns:xsd="http://www.w3.org/2001/XMLSchema" xmlns:xs="http://www.w3.org/2001/XMLSchema" xmlns:p="http://schemas.microsoft.com/office/2006/metadata/properties" xmlns:ns2="c27f32f1-fb2d-4fe2-bf74-88bfc192236b" xmlns:ns3="e01eb548-6e35-49cb-a1b8-eeb9a670cc8f" targetNamespace="http://schemas.microsoft.com/office/2006/metadata/properties" ma:root="true" ma:fieldsID="f50c12555ce724fbae9aadfaea7c28e1" ns2:_="" ns3:_="">
    <xsd:import namespace="c27f32f1-fb2d-4fe2-bf74-88bfc192236b"/>
    <xsd:import namespace="e01eb548-6e35-49cb-a1b8-eeb9a670cc8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f32f1-fb2d-4fe2-bf74-88bfc1922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eb548-6e35-49cb-a1b8-eeb9a670cc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41689-6414-4A98-AE98-98E7F18924EF}">
  <ds:schemaRefs>
    <ds:schemaRef ds:uri="http://purl.org/dc/elements/1.1/"/>
    <ds:schemaRef ds:uri="e01eb548-6e35-49cb-a1b8-eeb9a670cc8f"/>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c27f32f1-fb2d-4fe2-bf74-88bfc192236b"/>
  </ds:schemaRefs>
</ds:datastoreItem>
</file>

<file path=customXml/itemProps2.xml><?xml version="1.0" encoding="utf-8"?>
<ds:datastoreItem xmlns:ds="http://schemas.openxmlformats.org/officeDocument/2006/customXml" ds:itemID="{E2973345-CA8A-491A-B553-167EE9E7072F}">
  <ds:schemaRefs>
    <ds:schemaRef ds:uri="http://schemas.microsoft.com/sharepoint/v3/contenttype/forms"/>
  </ds:schemaRefs>
</ds:datastoreItem>
</file>

<file path=customXml/itemProps3.xml><?xml version="1.0" encoding="utf-8"?>
<ds:datastoreItem xmlns:ds="http://schemas.openxmlformats.org/officeDocument/2006/customXml" ds:itemID="{FC5B0DFB-FF50-4BE4-8E9F-C423274893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7f32f1-fb2d-4fe2-bf74-88bfc192236b"/>
    <ds:schemaRef ds:uri="e01eb548-6e35-49cb-a1b8-eeb9a670cc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vt:lpstr>
      <vt:lpstr>Information</vt:lpstr>
      <vt:lpstr>Scope 1</vt:lpstr>
      <vt:lpstr>Scope 2</vt:lpstr>
      <vt:lpstr>Report</vt:lpstr>
      <vt:lpstr>Back-end &gt;&gt;&gt;</vt:lpstr>
      <vt:lpstr>Calculations</vt:lpstr>
      <vt:lpstr>Carbon Factors</vt:lpstr>
      <vt:lpstr>Factors_CIBSE</vt:lpstr>
      <vt:lpstr>Conversion_factors</vt:lpstr>
    </vt:vector>
  </TitlesOfParts>
  <Manager/>
  <Company>Deloitte 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Agnieszka Machon</dc:creator>
  <cp:keywords/>
  <dc:description/>
  <cp:lastModifiedBy>Aistė Veberaitė</cp:lastModifiedBy>
  <cp:revision/>
  <dcterms:created xsi:type="dcterms:W3CDTF">2023-07-14T08:28:33Z</dcterms:created>
  <dcterms:modified xsi:type="dcterms:W3CDTF">2024-04-23T14:02:11Z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2023-07-14T08:28:34Z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65864629-cb28-43f0-ac82-f03d048a4a64</vt:lpwstr>
  </property>
  <property fmtid="{D5CDD505-2E9C-101B-9397-08002B2CF9AE}" pid="8" name="MSIP_Label_ea60d57e-af5b-4752-ac57-3e4f28ca11dc_ContentBits">
    <vt:lpwstr>0</vt:lpwstr>
  </property>
  <property fmtid="{D5CDD505-2E9C-101B-9397-08002B2CF9AE}" pid="9" name="ContentTypeId">
    <vt:lpwstr>0x010100E2F8345C2945544B844E7C4C8013C071</vt:lpwstr>
  </property>
  <property fmtid="{D5CDD505-2E9C-101B-9397-08002B2CF9AE}" pid="10" name="MediaServiceImageTags">
    <vt:lpwstr/>
  </property>
  <property fmtid="{D5CDD505-2E9C-101B-9397-08002B2CF9AE}" pid="11" name="Order">
    <vt:r8>19600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